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IS QUISPE\Desktop\FY 17\Gris Quispe Laptop 1\Usados\Docencia Gris Quispe\Q&amp;S\11.22\Taller Conta cero\"/>
    </mc:Choice>
  </mc:AlternateContent>
  <xr:revisionPtr revIDLastSave="0" documentId="13_ncr:1_{9DBE89A2-30C7-4B5A-8AB8-33CD2577F9B5}" xr6:coauthVersionLast="46" xr6:coauthVersionMax="46" xr10:uidLastSave="{00000000-0000-0000-0000-000000000000}"/>
  <bookViews>
    <workbookView xWindow="-110" yWindow="-110" windowWidth="19420" windowHeight="11620" tabRatio="826" firstSheet="2" activeTab="15" xr2:uid="{00000000-000D-0000-FFFF-FFFF00000000}"/>
  </bookViews>
  <sheets>
    <sheet name="Proceso de monografía" sheetId="55" r:id="rId1"/>
    <sheet name="Impactos en DJAnual" sheetId="56" r:id="rId2"/>
    <sheet name="Caso Práctico" sheetId="35" r:id="rId3"/>
    <sheet name="Op1" sheetId="50" r:id="rId4"/>
    <sheet name="Op2" sheetId="52" r:id="rId5"/>
    <sheet name="Op3" sheetId="53" r:id="rId6"/>
    <sheet name="kardex" sheetId="58" r:id="rId7"/>
    <sheet name="Op4" sheetId="54" r:id="rId8"/>
    <sheet name="Op5" sheetId="57" r:id="rId9"/>
    <sheet name="L.diario" sheetId="60" r:id="rId10"/>
    <sheet name="L.Mayor" sheetId="61" r:id="rId11"/>
    <sheet name="BC-11.22" sheetId="63" r:id="rId12"/>
    <sheet name="ESF" sheetId="64" r:id="rId13"/>
    <sheet name="Cta12" sheetId="67" r:id="rId14"/>
    <sheet name="Cta20" sheetId="68" r:id="rId15"/>
    <sheet name="Cta16" sheetId="69" r:id="rId16"/>
    <sheet name="ERI" sheetId="66" r:id="rId17"/>
    <sheet name="Hoja2" sheetId="59" r:id="rId18"/>
    <sheet name="BC-2021" sheetId="36" r:id="rId19"/>
    <sheet name="Reg. Compras" sheetId="37" r:id="rId20"/>
    <sheet name="Reg. Vtas" sheetId="38" r:id="rId21"/>
    <sheet name="B.C." sheetId="14" state="hidden" r:id="rId22"/>
  </sheets>
  <externalReferences>
    <externalReference r:id="rId23"/>
    <externalReference r:id="rId24"/>
  </externalReferences>
  <definedNames>
    <definedName name="_xlnm._FilterDatabase" localSheetId="11" hidden="1">'BC-11.22'!$A$6:$R$30</definedName>
    <definedName name="_xlnm._FilterDatabase" localSheetId="9" hidden="1">L.diario!$A$2:$G$116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DICTAMEN">[1]Sheet1!$O$22:$O$28</definedName>
    <definedName name="ESTADOS_FINANCIEROS">[1]Sheet1!$O$16:$O$20</definedName>
    <definedName name="GAAP">[1]Sheet1!$Q$6:$Q$10</definedName>
    <definedName name="INDUSTRIA">[1]Sheet1!$K$5:$K$17</definedName>
    <definedName name="MOTIVO_DE_MODIFICACION_DE_OPINION">[1]Sheet1!$S$5:$S$14</definedName>
    <definedName name="NIC">[1]Sheet1!$R$5:$R$29</definedName>
    <definedName name="NIIF">[1]Sheet1!$J$5:$J$21</definedName>
    <definedName name="REGULADORES">[1]Sheet1!$N$6:$N$14</definedName>
    <definedName name="TIPO_DE_INFORME">[1]Sheet1!$K$18:$K$31</definedName>
    <definedName name="VENCII">[2]CRONOGRAMA!$C$83:$D$452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69" l="1"/>
  <c r="V10" i="69"/>
  <c r="V9" i="69"/>
  <c r="V8" i="69"/>
  <c r="I8" i="69"/>
  <c r="V7" i="69"/>
  <c r="L7" i="69"/>
  <c r="M7" i="69" s="1"/>
  <c r="N7" i="69" s="1"/>
  <c r="O7" i="69" s="1"/>
  <c r="P7" i="69" s="1"/>
  <c r="Q7" i="69" s="1"/>
  <c r="R7" i="69" s="1"/>
  <c r="S7" i="69" s="1"/>
  <c r="T7" i="69" s="1"/>
  <c r="U7" i="69" s="1"/>
  <c r="K7" i="69"/>
  <c r="J7" i="69"/>
  <c r="I7" i="69"/>
  <c r="N14" i="68"/>
  <c r="I12" i="68"/>
  <c r="I11" i="68"/>
  <c r="D11" i="68"/>
  <c r="I10" i="68"/>
  <c r="D10" i="68"/>
  <c r="I9" i="68"/>
  <c r="D9" i="68"/>
  <c r="L8" i="68"/>
  <c r="L9" i="68" s="1"/>
  <c r="L10" i="68" s="1"/>
  <c r="L11" i="68" s="1"/>
  <c r="I8" i="68"/>
  <c r="D8" i="68"/>
  <c r="L7" i="68"/>
  <c r="H7" i="68"/>
  <c r="G7" i="68" s="1"/>
  <c r="F7" i="68"/>
  <c r="D7" i="68"/>
  <c r="L6" i="68"/>
  <c r="H6" i="68"/>
  <c r="N6" i="68" s="1"/>
  <c r="G6" i="68"/>
  <c r="F6" i="68"/>
  <c r="D6" i="68"/>
  <c r="H7" i="67"/>
  <c r="H6" i="67"/>
  <c r="O13" i="61"/>
  <c r="N13" i="61"/>
  <c r="N3" i="61"/>
  <c r="N7" i="68" l="1"/>
  <c r="M6" i="68"/>
  <c r="D28" i="63"/>
  <c r="C28" i="63"/>
  <c r="D29" i="63" s="1"/>
  <c r="M7" i="68" l="1"/>
  <c r="J8" i="68" s="1"/>
  <c r="K8" i="68" s="1"/>
  <c r="G17" i="63"/>
  <c r="P17" i="63" s="1"/>
  <c r="H12" i="64" s="1"/>
  <c r="L23" i="61"/>
  <c r="F27" i="63" s="1"/>
  <c r="L19" i="61"/>
  <c r="L15" i="61"/>
  <c r="F19" i="63" s="1"/>
  <c r="L10" i="61"/>
  <c r="L6" i="61"/>
  <c r="F10" i="63" s="1"/>
  <c r="D17" i="63"/>
  <c r="C7" i="63"/>
  <c r="G116" i="60"/>
  <c r="G115" i="60"/>
  <c r="G114" i="60"/>
  <c r="G113" i="60"/>
  <c r="G112" i="60"/>
  <c r="G111" i="60"/>
  <c r="G110" i="60"/>
  <c r="G109" i="60"/>
  <c r="G108" i="60"/>
  <c r="G107" i="60"/>
  <c r="G106" i="60"/>
  <c r="G105" i="60"/>
  <c r="G104" i="60"/>
  <c r="G103" i="60"/>
  <c r="G102" i="60"/>
  <c r="G101" i="60"/>
  <c r="G100" i="60"/>
  <c r="G99" i="60"/>
  <c r="G97" i="60"/>
  <c r="G96" i="60"/>
  <c r="G95" i="60"/>
  <c r="G94" i="60"/>
  <c r="G93" i="60"/>
  <c r="G92" i="60"/>
  <c r="G91" i="60"/>
  <c r="G90" i="60"/>
  <c r="G89" i="60"/>
  <c r="G88" i="60"/>
  <c r="G87" i="60"/>
  <c r="G86" i="60"/>
  <c r="G85" i="60"/>
  <c r="G84" i="60"/>
  <c r="G83" i="60"/>
  <c r="G82" i="60"/>
  <c r="G81" i="60"/>
  <c r="G80" i="60"/>
  <c r="G79" i="60"/>
  <c r="G78" i="60"/>
  <c r="G77" i="60"/>
  <c r="G76" i="60"/>
  <c r="G75" i="60"/>
  <c r="G74" i="60"/>
  <c r="G72" i="60"/>
  <c r="G71" i="60"/>
  <c r="G70" i="60"/>
  <c r="G69" i="60"/>
  <c r="G68" i="60"/>
  <c r="G67" i="60"/>
  <c r="G66" i="60"/>
  <c r="G65" i="60"/>
  <c r="G63" i="60"/>
  <c r="G62" i="60"/>
  <c r="G61" i="60"/>
  <c r="G60" i="60"/>
  <c r="G59" i="60"/>
  <c r="G58" i="60"/>
  <c r="G57" i="60"/>
  <c r="G56" i="60"/>
  <c r="G54" i="60"/>
  <c r="G53" i="60"/>
  <c r="G52" i="60"/>
  <c r="G51" i="60"/>
  <c r="G50" i="60"/>
  <c r="G49" i="60"/>
  <c r="G48" i="60"/>
  <c r="G47" i="60"/>
  <c r="G45" i="60"/>
  <c r="G44" i="60"/>
  <c r="G43" i="60"/>
  <c r="G42" i="60"/>
  <c r="G41" i="60"/>
  <c r="G40" i="60"/>
  <c r="G39" i="60"/>
  <c r="G38" i="60"/>
  <c r="G36" i="60"/>
  <c r="G35" i="60"/>
  <c r="G34" i="60"/>
  <c r="G33" i="60"/>
  <c r="G31" i="60"/>
  <c r="G29" i="60"/>
  <c r="G27" i="60"/>
  <c r="G26" i="60"/>
  <c r="G25" i="60"/>
  <c r="G23" i="60"/>
  <c r="G22" i="60"/>
  <c r="G21" i="60"/>
  <c r="G20" i="60"/>
  <c r="G18" i="60"/>
  <c r="G16" i="60"/>
  <c r="G15" i="60"/>
  <c r="G14" i="60"/>
  <c r="G12" i="60"/>
  <c r="G11" i="60"/>
  <c r="G10" i="60"/>
  <c r="G9" i="60"/>
  <c r="G8" i="60"/>
  <c r="G7" i="60"/>
  <c r="G6" i="60"/>
  <c r="G5" i="60"/>
  <c r="G4" i="60"/>
  <c r="C115" i="60"/>
  <c r="C114" i="60"/>
  <c r="C111" i="60"/>
  <c r="C110" i="60"/>
  <c r="C107" i="60"/>
  <c r="C106" i="60"/>
  <c r="C105" i="60"/>
  <c r="C102" i="60"/>
  <c r="C101" i="60"/>
  <c r="C98" i="60"/>
  <c r="C97" i="60"/>
  <c r="C94" i="60"/>
  <c r="C93" i="60"/>
  <c r="C90" i="60"/>
  <c r="C89" i="60"/>
  <c r="C86" i="60"/>
  <c r="C85" i="60"/>
  <c r="C82" i="60"/>
  <c r="C81" i="60"/>
  <c r="C80" i="60"/>
  <c r="C77" i="60"/>
  <c r="C76" i="60"/>
  <c r="C73" i="60"/>
  <c r="C72" i="60"/>
  <c r="C69" i="60"/>
  <c r="C68" i="60"/>
  <c r="C67" i="60"/>
  <c r="C64" i="60"/>
  <c r="C63" i="60"/>
  <c r="C60" i="60"/>
  <c r="C59" i="60"/>
  <c r="C58" i="60"/>
  <c r="C55" i="60"/>
  <c r="C54" i="60"/>
  <c r="C51" i="60"/>
  <c r="C50" i="60"/>
  <c r="C49" i="60"/>
  <c r="C46" i="60"/>
  <c r="C45" i="60"/>
  <c r="C42" i="60"/>
  <c r="C41" i="60"/>
  <c r="C40" i="60"/>
  <c r="C37" i="60"/>
  <c r="C36" i="60"/>
  <c r="C35" i="60"/>
  <c r="C32" i="60"/>
  <c r="C31" i="60"/>
  <c r="C30" i="60"/>
  <c r="C29" i="60"/>
  <c r="C28" i="60"/>
  <c r="C27" i="60"/>
  <c r="C24" i="60"/>
  <c r="C23" i="60"/>
  <c r="C22" i="60"/>
  <c r="C19" i="60"/>
  <c r="C18" i="60"/>
  <c r="C17" i="60"/>
  <c r="C16" i="60"/>
  <c r="C13" i="60"/>
  <c r="C12" i="60"/>
  <c r="C11" i="60"/>
  <c r="C8" i="60"/>
  <c r="C7" i="60"/>
  <c r="C6" i="60"/>
  <c r="C5" i="60"/>
  <c r="C4" i="60"/>
  <c r="K23" i="61" s="1"/>
  <c r="M23" i="61" s="1"/>
  <c r="O23" i="61" s="1"/>
  <c r="F115" i="60"/>
  <c r="F111" i="60"/>
  <c r="F107" i="60"/>
  <c r="E114" i="60"/>
  <c r="E110" i="60"/>
  <c r="E106" i="60"/>
  <c r="E105" i="60"/>
  <c r="F102" i="60"/>
  <c r="E101" i="60"/>
  <c r="E97" i="60"/>
  <c r="F98" i="60" s="1"/>
  <c r="G98" i="60" s="1"/>
  <c r="F94" i="60"/>
  <c r="E93" i="60"/>
  <c r="F90" i="60"/>
  <c r="F86" i="60"/>
  <c r="E89" i="60"/>
  <c r="E85" i="60"/>
  <c r="F82" i="60"/>
  <c r="F81" i="60"/>
  <c r="E80" i="60"/>
  <c r="F77" i="60"/>
  <c r="E72" i="60"/>
  <c r="E76" i="60"/>
  <c r="F69" i="60"/>
  <c r="E68" i="60"/>
  <c r="E67" i="60"/>
  <c r="E63" i="60"/>
  <c r="F60" i="60"/>
  <c r="E59" i="60"/>
  <c r="E58" i="60"/>
  <c r="E54" i="60"/>
  <c r="F55" i="60" s="1"/>
  <c r="G55" i="60" s="1"/>
  <c r="F51" i="60"/>
  <c r="E50" i="60"/>
  <c r="E49" i="60"/>
  <c r="E45" i="60"/>
  <c r="F46" i="60" s="1"/>
  <c r="G46" i="60" s="1"/>
  <c r="F42" i="60"/>
  <c r="E41" i="60"/>
  <c r="E40" i="60"/>
  <c r="E36" i="60"/>
  <c r="E35" i="60"/>
  <c r="F37" i="60" s="1"/>
  <c r="G37" i="60" s="1"/>
  <c r="E31" i="60"/>
  <c r="F32" i="60" s="1"/>
  <c r="G32" i="60" s="1"/>
  <c r="E29" i="60"/>
  <c r="F30" i="60" s="1"/>
  <c r="G30" i="60" s="1"/>
  <c r="E27" i="60"/>
  <c r="F28" i="60" s="1"/>
  <c r="G28" i="60" s="1"/>
  <c r="E23" i="60"/>
  <c r="E22" i="60"/>
  <c r="E18" i="60"/>
  <c r="F19" i="60" s="1"/>
  <c r="G19" i="60" s="1"/>
  <c r="E16" i="60"/>
  <c r="E12" i="60"/>
  <c r="E11" i="60"/>
  <c r="F8" i="60"/>
  <c r="F7" i="60"/>
  <c r="F6" i="60"/>
  <c r="F5" i="60"/>
  <c r="E4" i="60"/>
  <c r="E20" i="57"/>
  <c r="D19" i="57"/>
  <c r="D16" i="57"/>
  <c r="E17" i="57" s="1"/>
  <c r="E14" i="57"/>
  <c r="D13" i="57"/>
  <c r="D12" i="57"/>
  <c r="AH10" i="57"/>
  <c r="AI10" i="57" s="1"/>
  <c r="AH9" i="57"/>
  <c r="AH11" i="57" s="1"/>
  <c r="AI6" i="57"/>
  <c r="AH6" i="57"/>
  <c r="AI5" i="57"/>
  <c r="AI4" i="57"/>
  <c r="AH5" i="57"/>
  <c r="AH4" i="57"/>
  <c r="XFD4" i="57"/>
  <c r="AG15" i="57"/>
  <c r="AF15" i="57"/>
  <c r="AG14" i="57"/>
  <c r="AG13" i="57"/>
  <c r="AF14" i="57"/>
  <c r="AF13" i="57"/>
  <c r="AE10" i="57"/>
  <c r="AF10" i="57" s="1"/>
  <c r="AG10" i="57" s="1"/>
  <c r="AE9" i="57"/>
  <c r="AF9" i="57" s="1"/>
  <c r="AB10" i="57"/>
  <c r="AC10" i="57" s="1"/>
  <c r="AB9" i="57"/>
  <c r="AC9" i="57" s="1"/>
  <c r="AG6" i="57"/>
  <c r="AF6" i="57"/>
  <c r="AG5" i="57"/>
  <c r="AG4" i="57"/>
  <c r="AF5" i="57"/>
  <c r="AF4" i="57"/>
  <c r="AE5" i="57"/>
  <c r="AE4" i="57"/>
  <c r="AB5" i="57"/>
  <c r="AC5" i="57" s="1"/>
  <c r="AB4" i="57"/>
  <c r="AC4" i="57" s="1"/>
  <c r="M61" i="57"/>
  <c r="E5" i="57"/>
  <c r="K67" i="52" s="1"/>
  <c r="E4" i="57"/>
  <c r="K66" i="52" s="1"/>
  <c r="B67" i="52"/>
  <c r="B66" i="52"/>
  <c r="I11" i="58"/>
  <c r="I10" i="58"/>
  <c r="I9" i="58"/>
  <c r="I8" i="58"/>
  <c r="I12" i="58" s="1"/>
  <c r="D11" i="58"/>
  <c r="D10" i="58"/>
  <c r="D9" i="58"/>
  <c r="D8" i="58"/>
  <c r="F7" i="58"/>
  <c r="F6" i="58"/>
  <c r="L6" i="58" s="1"/>
  <c r="D7" i="58"/>
  <c r="D6" i="58"/>
  <c r="H31" i="54"/>
  <c r="F30" i="54"/>
  <c r="H26" i="54"/>
  <c r="F25" i="54"/>
  <c r="H16" i="54"/>
  <c r="F15" i="54"/>
  <c r="C23" i="54"/>
  <c r="E23" i="54" s="1"/>
  <c r="K22" i="53"/>
  <c r="Q22" i="53" s="1"/>
  <c r="I22" i="53"/>
  <c r="K21" i="53"/>
  <c r="I20" i="53"/>
  <c r="K14" i="53"/>
  <c r="I14" i="53"/>
  <c r="K13" i="53"/>
  <c r="K12" i="53"/>
  <c r="I11" i="53"/>
  <c r="N46" i="50"/>
  <c r="N45" i="50"/>
  <c r="K3" i="61" l="1"/>
  <c r="E7" i="63" s="1"/>
  <c r="K7" i="61"/>
  <c r="K11" i="61"/>
  <c r="E15" i="63" s="1"/>
  <c r="K16" i="61"/>
  <c r="K20" i="61"/>
  <c r="L7" i="61"/>
  <c r="F11" i="63" s="1"/>
  <c r="L11" i="61"/>
  <c r="L16" i="61"/>
  <c r="F20" i="63" s="1"/>
  <c r="L20" i="61"/>
  <c r="F24" i="63" s="1"/>
  <c r="K4" i="61"/>
  <c r="K8" i="61"/>
  <c r="K12" i="61"/>
  <c r="K17" i="61"/>
  <c r="K21" i="61"/>
  <c r="L4" i="61"/>
  <c r="F8" i="63" s="1"/>
  <c r="L8" i="61"/>
  <c r="F12" i="63" s="1"/>
  <c r="L12" i="61"/>
  <c r="F16" i="63" s="1"/>
  <c r="L17" i="61"/>
  <c r="F21" i="63" s="1"/>
  <c r="K5" i="61"/>
  <c r="E9" i="63" s="1"/>
  <c r="K9" i="61"/>
  <c r="K14" i="61"/>
  <c r="M14" i="61" s="1"/>
  <c r="O14" i="61" s="1"/>
  <c r="K18" i="61"/>
  <c r="E22" i="63" s="1"/>
  <c r="G22" i="63" s="1"/>
  <c r="I22" i="63" s="1"/>
  <c r="K22" i="61"/>
  <c r="E26" i="63" s="1"/>
  <c r="G26" i="63" s="1"/>
  <c r="L5" i="61"/>
  <c r="F9" i="63" s="1"/>
  <c r="L14" i="61"/>
  <c r="F18" i="63" s="1"/>
  <c r="L18" i="61"/>
  <c r="F22" i="63" s="1"/>
  <c r="L22" i="61"/>
  <c r="F26" i="63" s="1"/>
  <c r="K6" i="61"/>
  <c r="M6" i="61" s="1"/>
  <c r="O6" i="61" s="1"/>
  <c r="K10" i="61"/>
  <c r="E14" i="63" s="1"/>
  <c r="G14" i="63" s="1"/>
  <c r="K15" i="61"/>
  <c r="M15" i="61" s="1"/>
  <c r="O15" i="61" s="1"/>
  <c r="K19" i="61"/>
  <c r="E23" i="63" s="1"/>
  <c r="G23" i="63" s="1"/>
  <c r="H17" i="63"/>
  <c r="I17" i="63"/>
  <c r="K17" i="63" s="1"/>
  <c r="N8" i="68"/>
  <c r="P22" i="63"/>
  <c r="M18" i="61"/>
  <c r="O18" i="61" s="1"/>
  <c r="E18" i="63"/>
  <c r="G18" i="63" s="1"/>
  <c r="E27" i="63"/>
  <c r="G27" i="63" s="1"/>
  <c r="M11" i="61"/>
  <c r="O11" i="61" s="1"/>
  <c r="F14" i="63"/>
  <c r="F23" i="63"/>
  <c r="E11" i="63"/>
  <c r="E20" i="63"/>
  <c r="G20" i="63" s="1"/>
  <c r="E24" i="63"/>
  <c r="G24" i="63" s="1"/>
  <c r="M5" i="61"/>
  <c r="O5" i="61" s="1"/>
  <c r="F15" i="63"/>
  <c r="G15" i="63" s="1"/>
  <c r="C3" i="61"/>
  <c r="F13" i="60"/>
  <c r="G13" i="60" s="1"/>
  <c r="F73" i="60"/>
  <c r="G73" i="60" s="1"/>
  <c r="F64" i="60"/>
  <c r="G64" i="60" s="1"/>
  <c r="E1" i="60"/>
  <c r="F24" i="60"/>
  <c r="G24" i="60" s="1"/>
  <c r="F17" i="60"/>
  <c r="G17" i="60" s="1"/>
  <c r="AI9" i="57"/>
  <c r="AI11" i="57" s="1"/>
  <c r="AF11" i="57"/>
  <c r="AG9" i="57"/>
  <c r="AG11" i="57" s="1"/>
  <c r="E6" i="57"/>
  <c r="M62" i="57"/>
  <c r="L67" i="52"/>
  <c r="U67" i="52" s="1"/>
  <c r="L66" i="52"/>
  <c r="U66" i="52" s="1"/>
  <c r="L7" i="58"/>
  <c r="L8" i="58" s="1"/>
  <c r="L9" i="58" s="1"/>
  <c r="L10" i="58" s="1"/>
  <c r="L11" i="58" s="1"/>
  <c r="N48" i="50"/>
  <c r="O47" i="50"/>
  <c r="O48" i="50" s="1"/>
  <c r="P48" i="50" s="1"/>
  <c r="M4" i="50"/>
  <c r="L5" i="50"/>
  <c r="L4" i="50"/>
  <c r="L7" i="37"/>
  <c r="K7" i="37"/>
  <c r="E12" i="54"/>
  <c r="AN6" i="53"/>
  <c r="K6" i="53" s="1"/>
  <c r="AN5" i="53"/>
  <c r="K5" i="53"/>
  <c r="Q5" i="53" s="1"/>
  <c r="T5" i="53" s="1"/>
  <c r="AG5" i="53" s="1"/>
  <c r="B5" i="53"/>
  <c r="B6" i="53" s="1"/>
  <c r="AN4" i="53"/>
  <c r="Q4" i="53"/>
  <c r="T4" i="53" s="1"/>
  <c r="K4" i="53"/>
  <c r="C4" i="53"/>
  <c r="C5" i="53" s="1"/>
  <c r="C6" i="53" s="1"/>
  <c r="B4" i="53"/>
  <c r="AN3" i="53"/>
  <c r="K3" i="53"/>
  <c r="Q3" i="53" s="1"/>
  <c r="Q18" i="38"/>
  <c r="Q22" i="38"/>
  <c r="Q14" i="38"/>
  <c r="T7" i="38"/>
  <c r="Q7" i="38"/>
  <c r="K7" i="38"/>
  <c r="T44" i="52"/>
  <c r="S44" i="52"/>
  <c r="R44" i="52"/>
  <c r="Q44" i="52"/>
  <c r="P44" i="52"/>
  <c r="O44" i="52"/>
  <c r="N44" i="52"/>
  <c r="M44" i="52"/>
  <c r="T28" i="52"/>
  <c r="S28" i="52"/>
  <c r="R28" i="52"/>
  <c r="Q28" i="52"/>
  <c r="P28" i="52"/>
  <c r="O28" i="52"/>
  <c r="N28" i="52"/>
  <c r="M28" i="52"/>
  <c r="K28" i="52"/>
  <c r="K31" i="52" s="1"/>
  <c r="K36" i="52" s="1"/>
  <c r="K43" i="52"/>
  <c r="L27" i="52"/>
  <c r="L28" i="52" s="1"/>
  <c r="K32" i="52" s="1"/>
  <c r="AQ4" i="52"/>
  <c r="AQ3" i="52"/>
  <c r="E19" i="63" l="1"/>
  <c r="G19" i="63" s="1"/>
  <c r="E10" i="63"/>
  <c r="G10" i="63" s="1"/>
  <c r="G9" i="63"/>
  <c r="M17" i="61"/>
  <c r="O17" i="61" s="1"/>
  <c r="E21" i="63"/>
  <c r="G21" i="63" s="1"/>
  <c r="L3" i="61"/>
  <c r="M7" i="61"/>
  <c r="O7" i="61" s="1"/>
  <c r="H22" i="63"/>
  <c r="L22" i="63" s="1"/>
  <c r="M10" i="61"/>
  <c r="O10" i="61" s="1"/>
  <c r="M12" i="61"/>
  <c r="O12" i="61" s="1"/>
  <c r="E16" i="63"/>
  <c r="G16" i="63" s="1"/>
  <c r="M19" i="61"/>
  <c r="O19" i="61" s="1"/>
  <c r="G11" i="63"/>
  <c r="I11" i="63" s="1"/>
  <c r="E25" i="63"/>
  <c r="G25" i="63" s="1"/>
  <c r="P25" i="63" s="1"/>
  <c r="L9" i="61"/>
  <c r="F13" i="63" s="1"/>
  <c r="L21" i="61"/>
  <c r="F25" i="63" s="1"/>
  <c r="M8" i="61"/>
  <c r="O8" i="61" s="1"/>
  <c r="E12" i="63"/>
  <c r="G12" i="63" s="1"/>
  <c r="M20" i="61"/>
  <c r="O20" i="61" s="1"/>
  <c r="M4" i="61"/>
  <c r="O4" i="61" s="1"/>
  <c r="E8" i="63"/>
  <c r="G8" i="63" s="1"/>
  <c r="P8" i="63" s="1"/>
  <c r="C7" i="64" s="1"/>
  <c r="H8" i="67" s="1"/>
  <c r="H9" i="67" s="1"/>
  <c r="M16" i="61"/>
  <c r="O16" i="61" s="1"/>
  <c r="E13" i="63"/>
  <c r="G13" i="63" s="1"/>
  <c r="I13" i="63" s="1"/>
  <c r="M22" i="61"/>
  <c r="O22" i="61" s="1"/>
  <c r="M8" i="68"/>
  <c r="J9" i="68" s="1"/>
  <c r="K9" i="68" s="1"/>
  <c r="P15" i="63"/>
  <c r="H7" i="64" s="1"/>
  <c r="I15" i="63"/>
  <c r="K15" i="63" s="1"/>
  <c r="H15" i="63"/>
  <c r="H13" i="63"/>
  <c r="J13" i="63" s="1"/>
  <c r="P20" i="63"/>
  <c r="H20" i="63"/>
  <c r="L20" i="63" s="1"/>
  <c r="I20" i="63"/>
  <c r="I8" i="63"/>
  <c r="H8" i="63"/>
  <c r="J8" i="63" s="1"/>
  <c r="P23" i="63"/>
  <c r="B7" i="66" s="1"/>
  <c r="I23" i="63"/>
  <c r="H23" i="63"/>
  <c r="P27" i="63"/>
  <c r="B11" i="66" s="1"/>
  <c r="I27" i="63"/>
  <c r="H27" i="63"/>
  <c r="N27" i="63" s="1"/>
  <c r="P24" i="63"/>
  <c r="B6" i="66" s="1"/>
  <c r="H24" i="63"/>
  <c r="I24" i="63"/>
  <c r="P11" i="63"/>
  <c r="H11" i="63"/>
  <c r="J11" i="63" s="1"/>
  <c r="P14" i="63"/>
  <c r="H14" i="63"/>
  <c r="I14" i="63"/>
  <c r="K14" i="63" s="1"/>
  <c r="P19" i="63"/>
  <c r="H19" i="63"/>
  <c r="L19" i="63" s="1"/>
  <c r="I19" i="63"/>
  <c r="M19" i="63" s="1"/>
  <c r="P18" i="63"/>
  <c r="I18" i="63"/>
  <c r="H18" i="63"/>
  <c r="L18" i="63" s="1"/>
  <c r="P10" i="63"/>
  <c r="C8" i="64" s="1"/>
  <c r="N15" i="68" s="1"/>
  <c r="N16" i="68" s="1"/>
  <c r="I10" i="63"/>
  <c r="H10" i="63"/>
  <c r="J10" i="63" s="1"/>
  <c r="P26" i="63"/>
  <c r="B10" i="66" s="1"/>
  <c r="B12" i="66" s="1"/>
  <c r="I26" i="63"/>
  <c r="H26" i="63"/>
  <c r="N26" i="63" s="1"/>
  <c r="E28" i="63"/>
  <c r="P16" i="63"/>
  <c r="I16" i="63"/>
  <c r="K16" i="63" s="1"/>
  <c r="H16" i="63"/>
  <c r="F1" i="60"/>
  <c r="G1" i="60" s="1"/>
  <c r="O4" i="57"/>
  <c r="M4" i="57"/>
  <c r="M63" i="57"/>
  <c r="K4" i="52"/>
  <c r="L4" i="52" s="1"/>
  <c r="K20" i="52" s="1"/>
  <c r="H7" i="58"/>
  <c r="G7" i="58" s="1"/>
  <c r="K3" i="52"/>
  <c r="L3" i="52" s="1"/>
  <c r="H6" i="58"/>
  <c r="L43" i="52"/>
  <c r="L44" i="52" s="1"/>
  <c r="K48" i="52" s="1"/>
  <c r="K47" i="52"/>
  <c r="K11" i="52"/>
  <c r="K15" i="52" s="1"/>
  <c r="L16" i="52" s="1"/>
  <c r="Q6" i="53"/>
  <c r="T6" i="53" s="1"/>
  <c r="Q7" i="53"/>
  <c r="AG4" i="53"/>
  <c r="T3" i="53"/>
  <c r="K7" i="53"/>
  <c r="U27" i="52"/>
  <c r="K44" i="52"/>
  <c r="AB6" i="50"/>
  <c r="N40" i="50" s="1"/>
  <c r="O41" i="50" s="1"/>
  <c r="AA6" i="50"/>
  <c r="N38" i="50" s="1"/>
  <c r="O39" i="50" s="1"/>
  <c r="Z6" i="50"/>
  <c r="N36" i="50" s="1"/>
  <c r="S6" i="50"/>
  <c r="O14" i="50" s="1"/>
  <c r="K6" i="37"/>
  <c r="L6" i="37"/>
  <c r="F7" i="63" l="1"/>
  <c r="M3" i="61"/>
  <c r="O3" i="61" s="1"/>
  <c r="I25" i="63"/>
  <c r="M9" i="61"/>
  <c r="O9" i="61" s="1"/>
  <c r="I21" i="63"/>
  <c r="H21" i="63"/>
  <c r="L21" i="63" s="1"/>
  <c r="P21" i="63"/>
  <c r="H25" i="63"/>
  <c r="P13" i="63"/>
  <c r="P12" i="63"/>
  <c r="I12" i="63"/>
  <c r="K12" i="63" s="1"/>
  <c r="K28" i="63" s="1"/>
  <c r="K30" i="63" s="1"/>
  <c r="H12" i="63"/>
  <c r="P9" i="63"/>
  <c r="C9" i="64" s="1"/>
  <c r="H9" i="63"/>
  <c r="J9" i="63" s="1"/>
  <c r="I9" i="63"/>
  <c r="M21" i="61"/>
  <c r="O21" i="61" s="1"/>
  <c r="C13" i="64"/>
  <c r="C14" i="64" s="1"/>
  <c r="B8" i="66"/>
  <c r="B14" i="66" s="1"/>
  <c r="H13" i="64" s="1"/>
  <c r="H14" i="64" s="1"/>
  <c r="H8" i="64"/>
  <c r="H10" i="64" s="1"/>
  <c r="N9" i="68"/>
  <c r="L23" i="63"/>
  <c r="L28" i="63" s="1"/>
  <c r="N23" i="63"/>
  <c r="N28" i="63" s="1"/>
  <c r="O24" i="63"/>
  <c r="O28" i="63" s="1"/>
  <c r="M24" i="63"/>
  <c r="M28" i="63" s="1"/>
  <c r="M12" i="57"/>
  <c r="Q4" i="57"/>
  <c r="M5" i="57"/>
  <c r="O5" i="57"/>
  <c r="O6" i="57" s="1"/>
  <c r="O7" i="57" s="1"/>
  <c r="O8" i="57" s="1"/>
  <c r="Q8" i="57" s="1"/>
  <c r="O12" i="57"/>
  <c r="O9" i="57"/>
  <c r="M64" i="57"/>
  <c r="K19" i="52"/>
  <c r="K23" i="52" s="1"/>
  <c r="K5" i="52"/>
  <c r="U4" i="52"/>
  <c r="L21" i="52" s="1"/>
  <c r="K12" i="52"/>
  <c r="L5" i="52"/>
  <c r="U3" i="52"/>
  <c r="L13" i="52" s="1"/>
  <c r="W47" i="52"/>
  <c r="X4" i="50" s="1"/>
  <c r="X6" i="50" s="1"/>
  <c r="N27" i="50" s="1"/>
  <c r="O28" i="50" s="1"/>
  <c r="L62" i="52"/>
  <c r="U43" i="52"/>
  <c r="U44" i="52" s="1"/>
  <c r="L49" i="52" s="1"/>
  <c r="K52" i="52" s="1"/>
  <c r="L53" i="52" s="1"/>
  <c r="G6" i="58"/>
  <c r="N6" i="58"/>
  <c r="L24" i="52"/>
  <c r="N42" i="50"/>
  <c r="O37" i="50"/>
  <c r="O42" i="50" s="1"/>
  <c r="AG6" i="53"/>
  <c r="T7" i="53"/>
  <c r="Q14" i="53" s="1"/>
  <c r="AG3" i="53"/>
  <c r="AJ27" i="52"/>
  <c r="U28" i="52"/>
  <c r="L33" i="52" s="1"/>
  <c r="G7" i="63" l="1"/>
  <c r="F28" i="63"/>
  <c r="F29" i="63" s="1"/>
  <c r="H16" i="64"/>
  <c r="M9" i="68"/>
  <c r="J10" i="68" s="1"/>
  <c r="K10" i="68" s="1"/>
  <c r="N10" i="68"/>
  <c r="M29" i="63"/>
  <c r="M30" i="63" s="1"/>
  <c r="L30" i="63"/>
  <c r="N30" i="63"/>
  <c r="O29" i="63"/>
  <c r="O30" i="63" s="1"/>
  <c r="M13" i="57"/>
  <c r="Q12" i="57"/>
  <c r="O13" i="57"/>
  <c r="O14" i="57" s="1"/>
  <c r="O15" i="57" s="1"/>
  <c r="O16" i="57" s="1"/>
  <c r="O17" i="57" s="1"/>
  <c r="O18" i="57" s="1"/>
  <c r="O19" i="57" s="1"/>
  <c r="O20" i="57" s="1"/>
  <c r="O21" i="57" s="1"/>
  <c r="O22" i="57" s="1"/>
  <c r="O23" i="57" s="1"/>
  <c r="O24" i="57" s="1"/>
  <c r="O25" i="57" s="1"/>
  <c r="O26" i="57" s="1"/>
  <c r="O27" i="57" s="1"/>
  <c r="O28" i="57" s="1"/>
  <c r="O29" i="57" s="1"/>
  <c r="O30" i="57" s="1"/>
  <c r="O31" i="57" s="1"/>
  <c r="O32" i="57" s="1"/>
  <c r="O33" i="57" s="1"/>
  <c r="O34" i="57" s="1"/>
  <c r="O35" i="57" s="1"/>
  <c r="O36" i="57" s="1"/>
  <c r="O37" i="57" s="1"/>
  <c r="O38" i="57" s="1"/>
  <c r="O39" i="57" s="1"/>
  <c r="O40" i="57" s="1"/>
  <c r="O41" i="57" s="1"/>
  <c r="O42" i="57" s="1"/>
  <c r="O43" i="57" s="1"/>
  <c r="O44" i="57" s="1"/>
  <c r="O45" i="57" s="1"/>
  <c r="O46" i="57" s="1"/>
  <c r="O47" i="57" s="1"/>
  <c r="O48" i="57" s="1"/>
  <c r="O49" i="57" s="1"/>
  <c r="O50" i="57" s="1"/>
  <c r="O51" i="57" s="1"/>
  <c r="O52" i="57" s="1"/>
  <c r="O53" i="57" s="1"/>
  <c r="O54" i="57" s="1"/>
  <c r="O55" i="57" s="1"/>
  <c r="O56" i="57" s="1"/>
  <c r="O57" i="57" s="1"/>
  <c r="O58" i="57" s="1"/>
  <c r="O59" i="57" s="1"/>
  <c r="O60" i="57" s="1"/>
  <c r="M6" i="57"/>
  <c r="Q5" i="57"/>
  <c r="M65" i="57"/>
  <c r="X47" i="52"/>
  <c r="U5" i="52"/>
  <c r="K57" i="52"/>
  <c r="L58" i="52" s="1"/>
  <c r="K61" i="52" s="1"/>
  <c r="AJ43" i="52"/>
  <c r="M6" i="58"/>
  <c r="N7" i="58"/>
  <c r="K38" i="52"/>
  <c r="L37" i="52"/>
  <c r="L38" i="52" s="1"/>
  <c r="H7" i="63" l="1"/>
  <c r="I7" i="63"/>
  <c r="I28" i="63" s="1"/>
  <c r="P7" i="63"/>
  <c r="C6" i="64" s="1"/>
  <c r="C10" i="64" s="1"/>
  <c r="C16" i="64" s="1"/>
  <c r="H17" i="64" s="1"/>
  <c r="M10" i="68"/>
  <c r="J11" i="68" s="1"/>
  <c r="K11" i="68" s="1"/>
  <c r="N11" i="68" s="1"/>
  <c r="M11" i="68" s="1"/>
  <c r="K12" i="68"/>
  <c r="O61" i="57"/>
  <c r="Q60" i="57"/>
  <c r="M14" i="57"/>
  <c r="Q13" i="57"/>
  <c r="M7" i="57"/>
  <c r="Q7" i="57" s="1"/>
  <c r="Q6" i="57"/>
  <c r="Q9" i="57" s="1"/>
  <c r="M9" i="57"/>
  <c r="M66" i="57"/>
  <c r="M7" i="58"/>
  <c r="J8" i="58" s="1"/>
  <c r="K8" i="58" s="1"/>
  <c r="N5" i="50"/>
  <c r="N18" i="50" s="1"/>
  <c r="N4" i="50"/>
  <c r="H28" i="63" l="1"/>
  <c r="I29" i="63" s="1"/>
  <c r="J7" i="63"/>
  <c r="J28" i="63" s="1"/>
  <c r="J29" i="63" s="1"/>
  <c r="J30" i="63" s="1"/>
  <c r="M15" i="57"/>
  <c r="Q14" i="57"/>
  <c r="O62" i="57"/>
  <c r="Q61" i="57"/>
  <c r="M67" i="57"/>
  <c r="N8" i="58"/>
  <c r="M8" i="58" s="1"/>
  <c r="J9" i="58" s="1"/>
  <c r="K9" i="58" s="1"/>
  <c r="N9" i="58" s="1"/>
  <c r="M9" i="58" s="1"/>
  <c r="J10" i="58" s="1"/>
  <c r="K10" i="58" s="1"/>
  <c r="N10" i="58" s="1"/>
  <c r="R4" i="50"/>
  <c r="N19" i="50"/>
  <c r="N21" i="50"/>
  <c r="O20" i="50"/>
  <c r="O21" i="50" s="1"/>
  <c r="Q5" i="50"/>
  <c r="Q6" i="50" s="1"/>
  <c r="P5" i="50"/>
  <c r="P6" i="50" s="1"/>
  <c r="O5" i="50"/>
  <c r="N6" i="50"/>
  <c r="N11" i="50" s="1"/>
  <c r="N16" i="50" s="1"/>
  <c r="W4" i="50"/>
  <c r="N32" i="50" s="1"/>
  <c r="W5" i="50"/>
  <c r="M16" i="57" l="1"/>
  <c r="Q15" i="57"/>
  <c r="O63" i="57"/>
  <c r="Q62" i="57"/>
  <c r="M68" i="57"/>
  <c r="M10" i="58"/>
  <c r="J11" i="58" s="1"/>
  <c r="K11" i="58" s="1"/>
  <c r="K12" i="58" s="1"/>
  <c r="I16" i="53" s="1"/>
  <c r="P21" i="50"/>
  <c r="AD5" i="50"/>
  <c r="N31" i="50"/>
  <c r="W6" i="50"/>
  <c r="N25" i="50" s="1"/>
  <c r="O6" i="50"/>
  <c r="O12" i="50" s="1"/>
  <c r="T5" i="50"/>
  <c r="AD4" i="50"/>
  <c r="AD6" i="50" s="1"/>
  <c r="T4" i="50"/>
  <c r="U4" i="50" s="1"/>
  <c r="R6" i="50"/>
  <c r="O13" i="50" s="1"/>
  <c r="M17" i="57" l="1"/>
  <c r="Q16" i="57"/>
  <c r="O64" i="57"/>
  <c r="Q63" i="57"/>
  <c r="M69" i="57"/>
  <c r="N11" i="58"/>
  <c r="M11" i="58" s="1"/>
  <c r="I18" i="53"/>
  <c r="K17" i="53"/>
  <c r="K18" i="53" s="1"/>
  <c r="N34" i="50"/>
  <c r="O33" i="50"/>
  <c r="O34" i="50" s="1"/>
  <c r="O26" i="50"/>
  <c r="O29" i="50" s="1"/>
  <c r="N29" i="50"/>
  <c r="T6" i="50"/>
  <c r="U5" i="50"/>
  <c r="U6" i="50" s="1"/>
  <c r="O15" i="50" s="1"/>
  <c r="O16" i="50" s="1"/>
  <c r="P16" i="50" s="1"/>
  <c r="O65" i="57" l="1"/>
  <c r="Q64" i="57"/>
  <c r="M18" i="57"/>
  <c r="Q17" i="57"/>
  <c r="M70" i="57"/>
  <c r="P34" i="50"/>
  <c r="Q18" i="53"/>
  <c r="T6" i="38"/>
  <c r="AG6" i="38" s="1"/>
  <c r="T5" i="38"/>
  <c r="AG5" i="38" s="1"/>
  <c r="T4" i="38"/>
  <c r="T3" i="38"/>
  <c r="AG3" i="38" s="1"/>
  <c r="Q6" i="38"/>
  <c r="Q5" i="38"/>
  <c r="Q4" i="38"/>
  <c r="Q3" i="38"/>
  <c r="K6" i="38"/>
  <c r="K5" i="38"/>
  <c r="K4" i="38"/>
  <c r="K3" i="38"/>
  <c r="AN6" i="38"/>
  <c r="AN5" i="38"/>
  <c r="AN3" i="38"/>
  <c r="C5" i="38"/>
  <c r="C6" i="38" s="1"/>
  <c r="B5" i="38"/>
  <c r="B6" i="38" s="1"/>
  <c r="B4" i="38"/>
  <c r="C4" i="38"/>
  <c r="AG4" i="38"/>
  <c r="AN4" i="38"/>
  <c r="AQ4" i="37"/>
  <c r="K4" i="37" s="1"/>
  <c r="L4" i="37" s="1"/>
  <c r="AQ3" i="37"/>
  <c r="K3" i="37" s="1"/>
  <c r="L3" i="37" s="1"/>
  <c r="AJ5" i="37"/>
  <c r="L5" i="37"/>
  <c r="M19" i="57" l="1"/>
  <c r="Q18" i="57"/>
  <c r="O66" i="57"/>
  <c r="Q65" i="57"/>
  <c r="M71" i="57"/>
  <c r="D21" i="14"/>
  <c r="D22" i="14"/>
  <c r="E19" i="14"/>
  <c r="E24" i="14"/>
  <c r="E23" i="14"/>
  <c r="D20" i="14"/>
  <c r="E18" i="14"/>
  <c r="E17" i="14"/>
  <c r="D16" i="14"/>
  <c r="E15" i="14"/>
  <c r="D14" i="14"/>
  <c r="D12" i="14"/>
  <c r="D10" i="14"/>
  <c r="O67" i="57" l="1"/>
  <c r="Q66" i="57"/>
  <c r="M20" i="57"/>
  <c r="Q19" i="57"/>
  <c r="E14" i="14"/>
  <c r="F14" i="14" s="1"/>
  <c r="D7" i="14"/>
  <c r="D6" i="14"/>
  <c r="M21" i="57" l="1"/>
  <c r="Q20" i="57"/>
  <c r="O68" i="57"/>
  <c r="Q67" i="57"/>
  <c r="D18" i="14"/>
  <c r="F18" i="14" s="1"/>
  <c r="E6" i="14"/>
  <c r="F6" i="14" s="1"/>
  <c r="E13" i="14"/>
  <c r="D13" i="14"/>
  <c r="O69" i="57" l="1"/>
  <c r="Q68" i="57"/>
  <c r="M22" i="57"/>
  <c r="Q21" i="57"/>
  <c r="E7" i="14"/>
  <c r="F7" i="14" s="1"/>
  <c r="F13" i="14"/>
  <c r="O70" i="57" l="1"/>
  <c r="Q69" i="57"/>
  <c r="M23" i="57"/>
  <c r="Q22" i="57"/>
  <c r="D19" i="14"/>
  <c r="F19" i="14" s="1"/>
  <c r="O71" i="57" l="1"/>
  <c r="Q70" i="57"/>
  <c r="Q23" i="57"/>
  <c r="M24" i="57"/>
  <c r="E8" i="14"/>
  <c r="O72" i="57" l="1"/>
  <c r="Q71" i="57"/>
  <c r="M25" i="57"/>
  <c r="Q24" i="57"/>
  <c r="E10" i="14"/>
  <c r="F10" i="14" s="1"/>
  <c r="D23" i="14"/>
  <c r="F23" i="14" s="1"/>
  <c r="D4" i="14"/>
  <c r="E20" i="14"/>
  <c r="F20" i="14" s="1"/>
  <c r="M26" i="57" l="1"/>
  <c r="Q25" i="57"/>
  <c r="D24" i="14"/>
  <c r="F24" i="14" s="1"/>
  <c r="E9" i="14"/>
  <c r="D17" i="14"/>
  <c r="F17" i="14" s="1"/>
  <c r="Q26" i="57" l="1"/>
  <c r="M27" i="57"/>
  <c r="D5" i="14"/>
  <c r="E22" i="14"/>
  <c r="E11" i="14"/>
  <c r="M28" i="57" l="1"/>
  <c r="Q27" i="57"/>
  <c r="D11" i="14"/>
  <c r="F11" i="14" s="1"/>
  <c r="F22" i="14"/>
  <c r="E5" i="14"/>
  <c r="F5" i="14" s="1"/>
  <c r="M29" i="57" l="1"/>
  <c r="Q28" i="57"/>
  <c r="E4" i="14"/>
  <c r="E21" i="14"/>
  <c r="F21" i="14" s="1"/>
  <c r="M30" i="57" l="1"/>
  <c r="Q29" i="57"/>
  <c r="F4" i="14"/>
  <c r="D15" i="14"/>
  <c r="F15" i="14" s="1"/>
  <c r="Q30" i="57" l="1"/>
  <c r="M31" i="57"/>
  <c r="D8" i="14"/>
  <c r="D9" i="14"/>
  <c r="F9" i="14" s="1"/>
  <c r="M32" i="57" l="1"/>
  <c r="Q31" i="57"/>
  <c r="F8" i="14"/>
  <c r="D25" i="14"/>
  <c r="E12" i="14"/>
  <c r="E16" i="14"/>
  <c r="F16" i="14" s="1"/>
  <c r="Q32" i="57" l="1"/>
  <c r="M33" i="57"/>
  <c r="F12" i="14"/>
  <c r="E25" i="14"/>
  <c r="M34" i="57" l="1"/>
  <c r="Q33" i="57"/>
  <c r="Q34" i="57" l="1"/>
  <c r="M35" i="57"/>
  <c r="Q35" i="57" l="1"/>
  <c r="M36" i="57"/>
  <c r="M37" i="57" l="1"/>
  <c r="Q36" i="57"/>
  <c r="M38" i="57" l="1"/>
  <c r="Q37" i="57"/>
  <c r="M39" i="57" l="1"/>
  <c r="Q38" i="57"/>
  <c r="Q39" i="57" l="1"/>
  <c r="M40" i="57"/>
  <c r="M41" i="57" l="1"/>
  <c r="Q40" i="57"/>
  <c r="M42" i="57" l="1"/>
  <c r="Q41" i="57"/>
  <c r="M43" i="57" l="1"/>
  <c r="Q42" i="57"/>
  <c r="Q43" i="57" l="1"/>
  <c r="M44" i="57"/>
  <c r="M45" i="57" l="1"/>
  <c r="Q44" i="57"/>
  <c r="M46" i="57" l="1"/>
  <c r="Q45" i="57"/>
  <c r="M47" i="57" l="1"/>
  <c r="Q46" i="57"/>
  <c r="Q47" i="57" l="1"/>
  <c r="M48" i="57"/>
  <c r="M49" i="57" l="1"/>
  <c r="Q48" i="57"/>
  <c r="M50" i="57" l="1"/>
  <c r="Q49" i="57"/>
  <c r="M51" i="57" l="1"/>
  <c r="Q50" i="57"/>
  <c r="M52" i="57" l="1"/>
  <c r="Q51" i="57"/>
  <c r="Q52" i="57" l="1"/>
  <c r="M53" i="57"/>
  <c r="Q53" i="57" l="1"/>
  <c r="M54" i="57"/>
  <c r="M55" i="57" l="1"/>
  <c r="Q54" i="57"/>
  <c r="M56" i="57" l="1"/>
  <c r="Q55" i="57"/>
  <c r="M57" i="57" l="1"/>
  <c r="Q56" i="57"/>
  <c r="M58" i="57" l="1"/>
  <c r="Q57" i="57"/>
  <c r="M59" i="57" l="1"/>
  <c r="Q58" i="57"/>
  <c r="Q59" i="57" l="1"/>
  <c r="Q72" i="57" s="1"/>
  <c r="M72" i="57"/>
</calcChain>
</file>

<file path=xl/sharedStrings.xml><?xml version="1.0" encoding="utf-8"?>
<sst xmlns="http://schemas.openxmlformats.org/spreadsheetml/2006/main" count="1251" uniqueCount="446">
  <si>
    <t>Fecha</t>
  </si>
  <si>
    <t>Descripción</t>
  </si>
  <si>
    <t>Cant.</t>
  </si>
  <si>
    <t>Total</t>
  </si>
  <si>
    <t>(*)</t>
  </si>
  <si>
    <t>Tipo</t>
  </si>
  <si>
    <t>Serie</t>
  </si>
  <si>
    <t>Número</t>
  </si>
  <si>
    <t>Moneda</t>
  </si>
  <si>
    <t>Descripción del producto</t>
  </si>
  <si>
    <t>USD</t>
  </si>
  <si>
    <t>Soles</t>
  </si>
  <si>
    <t>Condiciones de pago</t>
  </si>
  <si>
    <t xml:space="preserve">Fecha </t>
  </si>
  <si>
    <t>Forma</t>
  </si>
  <si>
    <t>Importe</t>
  </si>
  <si>
    <t>01</t>
  </si>
  <si>
    <t>CÍA ABC</t>
  </si>
  <si>
    <t>CIA XYZ</t>
  </si>
  <si>
    <t>Valor de Vta</t>
  </si>
  <si>
    <t>Sueldo</t>
  </si>
  <si>
    <t>ONP</t>
  </si>
  <si>
    <t>Local A:</t>
  </si>
  <si>
    <t>item</t>
  </si>
  <si>
    <t>DESARROLLAR:</t>
  </si>
  <si>
    <t>(**)</t>
  </si>
  <si>
    <t>Efectuar la mayorización y el traslado al balance de comprobación.</t>
  </si>
  <si>
    <t>IGV</t>
  </si>
  <si>
    <t>Acciones</t>
  </si>
  <si>
    <t>Debe</t>
  </si>
  <si>
    <t>Haber</t>
  </si>
  <si>
    <t>CUENTAS POR COBRAR COMERCIALES – TERCEROS</t>
  </si>
  <si>
    <t>EFECTIVO Y EQUIVALENTES DE EFECTIVO</t>
  </si>
  <si>
    <t>SERVICIOS Y OTROS CONTRATADOS POR ANTICIPADO</t>
  </si>
  <si>
    <t>MERCADERÍAS</t>
  </si>
  <si>
    <t>TRIBUTOS, CONTRAPRESTACIONES</t>
  </si>
  <si>
    <t>REMUNERACIONES Y PARTICIPACIONES POR PAGAR</t>
  </si>
  <si>
    <t>CUENTAS POR PAGAR COMERCIALES – TERCEROS</t>
  </si>
  <si>
    <t>CUENTAS POR PAGAR COMERCIALES – RELACIONADAS</t>
  </si>
  <si>
    <t>CUENTAS POR PAGAR DIVERSAS – TERCEROS</t>
  </si>
  <si>
    <t>CAPITAL</t>
  </si>
  <si>
    <t>COMPRAS</t>
  </si>
  <si>
    <t>VARIACIÓN DE EXISTENCIAS</t>
  </si>
  <si>
    <t>GASTOS DE PERSONAL, DIRECTORES Y GERENTES</t>
  </si>
  <si>
    <t>GASTOS DE SERVICIOS PRESTADOS POR TERCEROS</t>
  </si>
  <si>
    <t>CUENTAS POR COBRAR AL PERSONAL, A LOS ACCIONISTAS</t>
  </si>
  <si>
    <t>VENTAS</t>
  </si>
  <si>
    <t>CARGAS IMPUTABLES A CUENTAS DE COSTOS Y GASTOS</t>
  </si>
  <si>
    <t>Gastos administrativos</t>
  </si>
  <si>
    <t>Gastos ventas</t>
  </si>
  <si>
    <t>CTA</t>
  </si>
  <si>
    <t>DESCRIPCIÓN</t>
  </si>
  <si>
    <t>SALDOS INICIALES</t>
  </si>
  <si>
    <t>DEBE</t>
  </si>
  <si>
    <t>HABER</t>
  </si>
  <si>
    <t>COSTO DE VENTAS</t>
  </si>
  <si>
    <t>INGRESOS FINANCIEROS</t>
  </si>
  <si>
    <t>MOVIMIENTOS</t>
  </si>
  <si>
    <t>SALDOS FINALES</t>
  </si>
  <si>
    <t>Ganancia</t>
  </si>
  <si>
    <t>6</t>
  </si>
  <si>
    <t>CASO PRÁCTICO: Fideos QS</t>
  </si>
  <si>
    <t>SALDOS FINALES DEL
BALANCE GENERAL</t>
  </si>
  <si>
    <t>SALDOS FINALES DEL EST. DE GANAN. Y PÉRD. POR NATUR.</t>
  </si>
  <si>
    <t>SALDOS FINALES DEL EST. DE GANAN. Y PÉRD. POR FUNCIÓN</t>
  </si>
  <si>
    <t>Código</t>
  </si>
  <si>
    <t>Denominación</t>
  </si>
  <si>
    <t>Deudor</t>
  </si>
  <si>
    <t>Acreedor</t>
  </si>
  <si>
    <t>Activo</t>
  </si>
  <si>
    <t>Pasivo</t>
  </si>
  <si>
    <t>Pérdida</t>
  </si>
  <si>
    <t>Ganacia</t>
  </si>
  <si>
    <t>CTA CONTABLE</t>
  </si>
  <si>
    <r>
      <t xml:space="preserve">Fideos QS (en adelante la CÍA), se dedica a la comercialización de fideos en general. la Cía inicio sus operaciones el 31.12.2021, ver saldo inicial del Balance de Comprobación en hoja </t>
    </r>
    <r>
      <rPr>
        <b/>
        <sz val="8"/>
        <color rgb="FFFF0000"/>
        <rFont val="Trebuchet MS"/>
        <family val="2"/>
      </rPr>
      <t>[B/C -2021]</t>
    </r>
    <r>
      <rPr>
        <sz val="8"/>
        <color theme="1"/>
        <rFont val="Trebuchet MS"/>
        <family val="2"/>
      </rPr>
      <t>.</t>
    </r>
  </si>
  <si>
    <t>*Considerar que la CÍA ha asignado como caja chica 5,000 soles, el reconocimiento de estos asientos contables lo realizó el mismo accionista, (asiento de caja chica y aporte de capital).</t>
  </si>
  <si>
    <t>Se realiza la contratación de las siguientes personas a planilla:</t>
  </si>
  <si>
    <t>Nombre</t>
  </si>
  <si>
    <t>Área</t>
  </si>
  <si>
    <t>Fecha de ingreso</t>
  </si>
  <si>
    <t>Asignación familiar</t>
  </si>
  <si>
    <t>Colaborador 1</t>
  </si>
  <si>
    <t>Colaborador 2</t>
  </si>
  <si>
    <t>Gerencia Financiera</t>
  </si>
  <si>
    <t>Gerencia Comercial</t>
  </si>
  <si>
    <t>Comprobante de Pago o Documento</t>
  </si>
  <si>
    <t>Documento de Identidad</t>
  </si>
  <si>
    <t>Adq. Grav. destinadas a Ope. Grav. y/o Exportacion</t>
  </si>
  <si>
    <t>Adq. Grav. Destinadas a Ope. Grav. y/o de Exportacion y a Ope. no Gravadas</t>
  </si>
  <si>
    <t>Adq. Grav. Destinadas a Ope. No Gravadas</t>
  </si>
  <si>
    <t>Adquisiciones</t>
  </si>
  <si>
    <t>Impuesto consumo de bolsas</t>
  </si>
  <si>
    <t>Otros Tributos</t>
  </si>
  <si>
    <t>N°  de compr. de pago emitido por</t>
  </si>
  <si>
    <t>Constancia de Dep. de Detracción</t>
  </si>
  <si>
    <t>Referencia del Comp. de Pago</t>
  </si>
  <si>
    <t>Correlativo</t>
  </si>
  <si>
    <t>Fecha Venc.</t>
  </si>
  <si>
    <t>T.D</t>
  </si>
  <si>
    <t>Año</t>
  </si>
  <si>
    <t>Proveedor</t>
  </si>
  <si>
    <t>Base Imp.</t>
  </si>
  <si>
    <t>I.G.V</t>
  </si>
  <si>
    <t>no Gravadas</t>
  </si>
  <si>
    <t>I.S.C.</t>
  </si>
  <si>
    <t>de plástico</t>
  </si>
  <si>
    <t>y Cargos</t>
  </si>
  <si>
    <t>sujeto no domic.</t>
  </si>
  <si>
    <t>Numero</t>
  </si>
  <si>
    <t>T. Camb.</t>
  </si>
  <si>
    <t>Valor de</t>
  </si>
  <si>
    <t>Transf. Gratuita</t>
  </si>
  <si>
    <t>Imp consumo de bolsas</t>
  </si>
  <si>
    <t>Otros</t>
  </si>
  <si>
    <t>Imp. Total</t>
  </si>
  <si>
    <t>Emisión</t>
  </si>
  <si>
    <t>Vcto.</t>
  </si>
  <si>
    <t>Exportación</t>
  </si>
  <si>
    <t>Ope.Grav.</t>
  </si>
  <si>
    <t>Exonerado</t>
  </si>
  <si>
    <t>Inafecto</t>
  </si>
  <si>
    <t>I.S.C</t>
  </si>
  <si>
    <t>IGV e IPM</t>
  </si>
  <si>
    <t>de plastico</t>
  </si>
  <si>
    <t>Tributos</t>
  </si>
  <si>
    <t>en M.E</t>
  </si>
  <si>
    <t>[T/C]</t>
  </si>
  <si>
    <t>FIDEOS QS</t>
  </si>
  <si>
    <t>Balance de Comprobación al 31.12.21</t>
  </si>
  <si>
    <t>A/T 31.12.2021</t>
  </si>
  <si>
    <t/>
  </si>
  <si>
    <t>FE01</t>
  </si>
  <si>
    <t>04 - 0002</t>
  </si>
  <si>
    <t>E001</t>
  </si>
  <si>
    <r>
      <t>Ver las compras realizadas por la Compañía en la hoja</t>
    </r>
    <r>
      <rPr>
        <b/>
        <sz val="8"/>
        <color rgb="FFFF0000"/>
        <rFont val="Trebuchet MS"/>
        <family val="2"/>
      </rPr>
      <t xml:space="preserve"> [Reg.Compras]</t>
    </r>
  </si>
  <si>
    <r>
      <t>Ver las ventas realizadas por la Compañía en la hoja</t>
    </r>
    <r>
      <rPr>
        <b/>
        <sz val="8"/>
        <color rgb="FFFF0000"/>
        <rFont val="Trebuchet MS"/>
        <family val="2"/>
      </rPr>
      <t xml:space="preserve"> [Reg.Vtas]</t>
    </r>
  </si>
  <si>
    <t>030001</t>
  </si>
  <si>
    <t xml:space="preserve"> 0003384</t>
  </si>
  <si>
    <t>030002</t>
  </si>
  <si>
    <t xml:space="preserve"> 0003385</t>
  </si>
  <si>
    <t>030004</t>
  </si>
  <si>
    <t xml:space="preserve"> 0003387</t>
  </si>
  <si>
    <t>030005</t>
  </si>
  <si>
    <t xml:space="preserve"> 0003388</t>
  </si>
  <si>
    <t>04 - 0003</t>
  </si>
  <si>
    <t>04 - 0004</t>
  </si>
  <si>
    <t>00012345</t>
  </si>
  <si>
    <t>00012347</t>
  </si>
  <si>
    <t>ASESORIA</t>
  </si>
  <si>
    <t>0002125</t>
  </si>
  <si>
    <t>FIDEOS SA</t>
  </si>
  <si>
    <t>Transferencia</t>
  </si>
  <si>
    <t>Servicios contables de feb22</t>
  </si>
  <si>
    <t>Venta al contado</t>
  </si>
  <si>
    <t>Transf. Bancaria</t>
  </si>
  <si>
    <t>Compra de fideos codito por bolsa de 1 kilo</t>
  </si>
  <si>
    <t>Fideos codigo por bolsa de 1 kilo</t>
  </si>
  <si>
    <t>Venta al crédito</t>
  </si>
  <si>
    <t>Efectuar los dos estados financieros (ERI - ESF).</t>
  </si>
  <si>
    <t>Gastos de alquiler por un local</t>
  </si>
  <si>
    <t>Cta</t>
  </si>
  <si>
    <t>Caja Principal MN</t>
  </si>
  <si>
    <t>BCP Cta. Cte. MN N°</t>
  </si>
  <si>
    <t>Vacaciones</t>
  </si>
  <si>
    <t>Fecha de compra</t>
  </si>
  <si>
    <t>EG01-0005789</t>
  </si>
  <si>
    <t>EG01-0008791</t>
  </si>
  <si>
    <t>Guía de Compra</t>
  </si>
  <si>
    <t>Ingresos</t>
  </si>
  <si>
    <r>
      <t>104110</t>
    </r>
    <r>
      <rPr>
        <sz val="8"/>
        <color rgb="FFFF0000"/>
        <rFont val="Trebuchet MS"/>
        <family val="2"/>
      </rPr>
      <t>1</t>
    </r>
  </si>
  <si>
    <r>
      <t>101110</t>
    </r>
    <r>
      <rPr>
        <sz val="8"/>
        <color rgb="FFFF0000"/>
        <rFont val="Trebuchet MS"/>
        <family val="2"/>
      </rPr>
      <t>1</t>
    </r>
  </si>
  <si>
    <r>
      <t>501110</t>
    </r>
    <r>
      <rPr>
        <sz val="8"/>
        <color rgb="FFFF0000"/>
        <rFont val="Trebuchet MS"/>
        <family val="2"/>
      </rPr>
      <t>1</t>
    </r>
  </si>
  <si>
    <t>04 - 0001</t>
  </si>
  <si>
    <t>OP.1</t>
  </si>
  <si>
    <t>OP.2</t>
  </si>
  <si>
    <t>OP.3</t>
  </si>
  <si>
    <t>OP.4</t>
  </si>
  <si>
    <t>AFP</t>
  </si>
  <si>
    <t>*</t>
  </si>
  <si>
    <t>Renta 5ta</t>
  </si>
  <si>
    <t>Essalud</t>
  </si>
  <si>
    <t>Aporte</t>
  </si>
  <si>
    <t>Seguro vida ley</t>
  </si>
  <si>
    <t>00011223</t>
  </si>
  <si>
    <t>RIMAC SEGURO</t>
  </si>
  <si>
    <t>CTS</t>
  </si>
  <si>
    <t>Gratificación</t>
  </si>
  <si>
    <t>AFP Comisión</t>
  </si>
  <si>
    <t>AFP Prima Seguros</t>
  </si>
  <si>
    <t>AFP Aporte Obligatorio</t>
  </si>
  <si>
    <t>Total Retención</t>
  </si>
  <si>
    <t>Neto a pagar</t>
  </si>
  <si>
    <t>Retención</t>
  </si>
  <si>
    <t>Pago</t>
  </si>
  <si>
    <t>Total ingreso</t>
  </si>
  <si>
    <t>Beneficios Sociales</t>
  </si>
  <si>
    <t>Total Gasto</t>
  </si>
  <si>
    <t>CxC</t>
  </si>
  <si>
    <t>IGV en contra</t>
  </si>
  <si>
    <t>Venta</t>
  </si>
  <si>
    <t>T/C</t>
  </si>
  <si>
    <t>(***)</t>
  </si>
  <si>
    <t>El arrendador es persona natural, el arrendador no pago el 5% de renta de primera</t>
  </si>
  <si>
    <t>El costo mensual es de 1,000 USD, se dio un garantía de 10,000 USD, la garantía será devuelta al término del contrato. El contrato tiene un plazo de duración de 1 año. El pago mensual incluye el gasto de servicios básicos (agua y luz).</t>
  </si>
  <si>
    <t>OP.5</t>
  </si>
  <si>
    <t>Dos autos</t>
  </si>
  <si>
    <t>Dos comiones</t>
  </si>
  <si>
    <t>Costo de adquisición</t>
  </si>
  <si>
    <t>Tasa de depreciación financiera</t>
  </si>
  <si>
    <t>Tasa de depreciación tributaria</t>
  </si>
  <si>
    <t>La compañía adquiere las siguientes unidades de transporte: incluirlos en el registro de compra</t>
  </si>
  <si>
    <t>Pendiente de pago, el pago vence el 30/01/2023</t>
  </si>
  <si>
    <t>En "Noviembre 2022" la Compañía realizó las siguientes operaciones:</t>
  </si>
  <si>
    <t>Realizar la contabilización de las operaciones realizadas en Noviembre 2022 a través del libro diario.</t>
  </si>
  <si>
    <t>El pago mensual se realiza el primer día calendario de cada mes. El pago de la garantía se realizó el 01/11/2022, el cual fue a través de transferencia bancaria.</t>
  </si>
  <si>
    <t>Durante el mes de noviembre ningún colaborador salió de vacaciones</t>
  </si>
  <si>
    <t>Sueldos y salarios</t>
  </si>
  <si>
    <t>Administradoras de fondos de pensiones</t>
  </si>
  <si>
    <t>Renta de quinta categoría</t>
  </si>
  <si>
    <t>Sueldos y salarios por pagar</t>
  </si>
  <si>
    <t>ESSALUD</t>
  </si>
  <si>
    <t>Otras instituciones</t>
  </si>
  <si>
    <t>Régimen de prestaciones de salud</t>
  </si>
  <si>
    <t>Seguro de vida</t>
  </si>
  <si>
    <t>Gratificaciones</t>
  </si>
  <si>
    <t>Compensación por tiempo de servicio</t>
  </si>
  <si>
    <t>Gratificaciones por pagar</t>
  </si>
  <si>
    <t>Vacaciones por pagar</t>
  </si>
  <si>
    <t>Compensación por tiempo de servicios</t>
  </si>
  <si>
    <t>Cargas imputables a cuentas de costo</t>
  </si>
  <si>
    <t>Pendiente de pago, el pago vence el 30/04/2023</t>
  </si>
  <si>
    <t>Servicios contables de Nov22</t>
  </si>
  <si>
    <t>Mercaderías</t>
  </si>
  <si>
    <t>Cuentas por pagar comerciales</t>
  </si>
  <si>
    <t>Costo de mercadería</t>
  </si>
  <si>
    <t>Variación de existencias - mercaderías</t>
  </si>
  <si>
    <t>(*) la factura del seguro vida ley llegó en los primeros días de diciembre 22</t>
  </si>
  <si>
    <t>ASESORIA CONTABLE</t>
  </si>
  <si>
    <t>Auditoría y contable</t>
  </si>
  <si>
    <t>Otras cuentas por pagar</t>
  </si>
  <si>
    <t>Ventas mercaderías terceros</t>
  </si>
  <si>
    <t>Emitidas en cartera</t>
  </si>
  <si>
    <t>Mercaderías - costo</t>
  </si>
  <si>
    <t>Mercaderías - venta local</t>
  </si>
  <si>
    <t>Cuentas corrientes operativas</t>
  </si>
  <si>
    <t>Asiento por la garantía:</t>
  </si>
  <si>
    <t>Asiento por el pago del alquiler y devengo:</t>
  </si>
  <si>
    <t>Otros gastos contratados por anticipado</t>
  </si>
  <si>
    <t>Cuentas corrientes</t>
  </si>
  <si>
    <t>El costo mensual es de 1,000 USD, se dió una garantía de 10,000 USD, la garantía será devuelta al término del contrato. El contrato tiene un plazo de duración de 1 años. El pago mensual incluye el gasto de servicios básicos (agua y luz). La garantía se otorga por transferencia</t>
  </si>
  <si>
    <t>Alquileres</t>
  </si>
  <si>
    <t>Gastos de alquiler por un local de área de ventas</t>
  </si>
  <si>
    <t>DATOS ADICIONALES</t>
  </si>
  <si>
    <t>El 50% de las mercaderías de la primera compra, están vencidas.</t>
  </si>
  <si>
    <t>El cliente de venta al crédito tiene problemas de liquidez, considerar que la política de cobranza es a 30 días.</t>
  </si>
  <si>
    <t>Contratación del seguro vida ley por un año.</t>
  </si>
  <si>
    <t>Seguros</t>
  </si>
  <si>
    <t>Gasto</t>
  </si>
  <si>
    <t>Ojo que este asiento ya se reconoció en el asiento de planilla</t>
  </si>
  <si>
    <t>Compra</t>
  </si>
  <si>
    <t>C.Unit.</t>
  </si>
  <si>
    <t>Entradas</t>
  </si>
  <si>
    <t>Salidas</t>
  </si>
  <si>
    <t>Saldo</t>
  </si>
  <si>
    <t>Código del producto</t>
  </si>
  <si>
    <t>Fideos codito por bolsa de 1 kilo</t>
  </si>
  <si>
    <t>E0001</t>
  </si>
  <si>
    <t>Saldo inicial</t>
  </si>
  <si>
    <t>Fórmula de costeo: Costo Promedio Ponderado</t>
  </si>
  <si>
    <t>00056789</t>
  </si>
  <si>
    <t>00056255</t>
  </si>
  <si>
    <t>Camiones SA.</t>
  </si>
  <si>
    <t>Compra de dos autos</t>
  </si>
  <si>
    <t>Compra de dos comiones</t>
  </si>
  <si>
    <t>Depreciación financiera</t>
  </si>
  <si>
    <t>Año 1</t>
  </si>
  <si>
    <t>Año 2</t>
  </si>
  <si>
    <t>Año 3</t>
  </si>
  <si>
    <t>Año 4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</si>
  <si>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</si>
  <si>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</si>
  <si>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</si>
  <si>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</si>
  <si>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</si>
  <si>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</si>
  <si>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</si>
  <si>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</si>
  <si>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</si>
  <si>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</si>
  <si>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</si>
  <si>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</si>
  <si>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Depreciación Tributaria</t>
  </si>
  <si>
    <t>Año 5</t>
  </si>
  <si>
    <t>Diferencias</t>
  </si>
  <si>
    <t>Marca</t>
  </si>
  <si>
    <t>KIA</t>
  </si>
  <si>
    <t>Volvo</t>
  </si>
  <si>
    <t>XE258</t>
  </si>
  <si>
    <t>XE259</t>
  </si>
  <si>
    <t>Placa</t>
  </si>
  <si>
    <t>Total costo al 30.11.22</t>
  </si>
  <si>
    <t>Depreciación anual</t>
  </si>
  <si>
    <t>Deprec. Acumul</t>
  </si>
  <si>
    <t>Costo Neto</t>
  </si>
  <si>
    <t>Reconocer la compra de los vehículos</t>
  </si>
  <si>
    <t>Unidades de transporte</t>
  </si>
  <si>
    <t>|-------------------------------------------------x-1</t>
  </si>
  <si>
    <t>Depreciación de propiedad, planta y equipo</t>
  </si>
  <si>
    <t>Depreciación acumulada propiedad, planta y equipo</t>
  </si>
  <si>
    <t>Cuentas de naturaleza acreedora</t>
  </si>
  <si>
    <t>Valor neto de la cuenta 33</t>
  </si>
  <si>
    <t>12,16</t>
  </si>
  <si>
    <t>Valor neto de la cuenta 12,16, etc…</t>
  </si>
  <si>
    <t>Valor neto de la cuenta 2</t>
  </si>
  <si>
    <t>Cuenta</t>
  </si>
  <si>
    <t>Por el asiento de planilla de nov22</t>
  </si>
  <si>
    <t>Por el asiento de destino</t>
  </si>
  <si>
    <t>Por el asiento de aportes</t>
  </si>
  <si>
    <t>Por el asiento de beneficios sociales</t>
  </si>
  <si>
    <t>Op1</t>
  </si>
  <si>
    <t>|---------------------------------------------------------x-1</t>
  </si>
  <si>
    <t>|---------------------------------------------------------x-2</t>
  </si>
  <si>
    <t>|---------------------------------------------------------x-3</t>
  </si>
  <si>
    <t>|---------------------------------------------------------x-4</t>
  </si>
  <si>
    <t>|---------------------------------------------------------x-5</t>
  </si>
  <si>
    <t>|---------------------------------------------------------x-6</t>
  </si>
  <si>
    <t>|---------------------------------------------------------x-7</t>
  </si>
  <si>
    <t>Op2</t>
  </si>
  <si>
    <t>Por la compra de mercaderías</t>
  </si>
  <si>
    <t>Por el ingreso al almacen</t>
  </si>
  <si>
    <t>Por el servicio contable</t>
  </si>
  <si>
    <t>Por el reconocimiento del seguro</t>
  </si>
  <si>
    <t>Por el pago del seguro</t>
  </si>
  <si>
    <t>Por el devengamiento del seguro</t>
  </si>
  <si>
    <t>|---------------------------------------------------------x-8</t>
  </si>
  <si>
    <t>|---------------------------------------------------------x-9</t>
  </si>
  <si>
    <t>|---------------------------------------------------------x-10</t>
  </si>
  <si>
    <t>|---------------------------------------------------------x-11</t>
  </si>
  <si>
    <t>|---------------------------------------------------------x-12</t>
  </si>
  <si>
    <t>|---------------------------------------------------------x-13</t>
  </si>
  <si>
    <t>|---------------------------------------------------------x-14</t>
  </si>
  <si>
    <t>|---------------------------------------------------------x-15</t>
  </si>
  <si>
    <t>|---------------------------------------------------------x-16</t>
  </si>
  <si>
    <t>Por la venta de mercaderías</t>
  </si>
  <si>
    <t>Por el costo de venta de mercaderías</t>
  </si>
  <si>
    <t>Por el cobro de las ventas</t>
  </si>
  <si>
    <t>|---------------------------------------------------------x-17</t>
  </si>
  <si>
    <t>|---------------------------------------------------------x-18</t>
  </si>
  <si>
    <t>|---------------------------------------------------------x-19</t>
  </si>
  <si>
    <t>|---------------------------------------------------------x-20</t>
  </si>
  <si>
    <t>|---------------------------------------------------------x-21</t>
  </si>
  <si>
    <t>Por la garantía otorgada</t>
  </si>
  <si>
    <t>Por el gasto de alquiler nov22</t>
  </si>
  <si>
    <t>|---------------------------------------------------------x-22</t>
  </si>
  <si>
    <t>Por la compra de las unidades de transporte</t>
  </si>
  <si>
    <t>Por la depreciación de nov-22 de los vehículos</t>
  </si>
  <si>
    <t>|---------------------------------------------------------x-23</t>
  </si>
  <si>
    <t>|---------------------------------------------------------x-24</t>
  </si>
  <si>
    <t>Libro Mayor</t>
  </si>
  <si>
    <t>Efectivo y equivalente de efectivo</t>
  </si>
  <si>
    <t>Rubro</t>
  </si>
  <si>
    <t>Descripción del rubro</t>
  </si>
  <si>
    <t>10</t>
  </si>
  <si>
    <t>12</t>
  </si>
  <si>
    <t>18</t>
  </si>
  <si>
    <t>20</t>
  </si>
  <si>
    <t>33</t>
  </si>
  <si>
    <t>39</t>
  </si>
  <si>
    <t>40</t>
  </si>
  <si>
    <t>41</t>
  </si>
  <si>
    <t>42</t>
  </si>
  <si>
    <t>46</t>
  </si>
  <si>
    <t>60</t>
  </si>
  <si>
    <t>61</t>
  </si>
  <si>
    <t>62</t>
  </si>
  <si>
    <t>63</t>
  </si>
  <si>
    <t>68</t>
  </si>
  <si>
    <t>69</t>
  </si>
  <si>
    <t>70</t>
  </si>
  <si>
    <t>79</t>
  </si>
  <si>
    <t>92</t>
  </si>
  <si>
    <t>93</t>
  </si>
  <si>
    <t>Saldo al 30.11.2022</t>
  </si>
  <si>
    <t>Efectivo y equivalentes
de efectivo</t>
  </si>
  <si>
    <t>Cuentas por cobrar
comerciales</t>
  </si>
  <si>
    <t>Servicios y otros
contratados por
anticipado</t>
  </si>
  <si>
    <t>Propiedad, planta y
equipo</t>
  </si>
  <si>
    <t>Depreciación y
amortización
acumulados</t>
  </si>
  <si>
    <t>Tributos,
contraprestaciones y
aportes al sistema público
de pensiones y de salud
por pagar</t>
  </si>
  <si>
    <t>Remuneraciones y
participaciones por pagar</t>
  </si>
  <si>
    <t>Cuentas por pagar
comerciales - Terceros</t>
  </si>
  <si>
    <t>Cuentas por pagar
diversas – Terceros</t>
  </si>
  <si>
    <t>Compras</t>
  </si>
  <si>
    <t>Variación de
existencias</t>
  </si>
  <si>
    <t>Gastos de personal
y directores</t>
  </si>
  <si>
    <t>Gastos de servicios
prestados por
terceros</t>
  </si>
  <si>
    <t>Valuación y
deterioro de activos
y provisiones</t>
  </si>
  <si>
    <t>Costo de ventas</t>
  </si>
  <si>
    <t>Ventas</t>
  </si>
  <si>
    <t>Cargas imputables a
cuentas de costos y
gastos</t>
  </si>
  <si>
    <t>Gastos de administración</t>
  </si>
  <si>
    <t>Gastos de ventas</t>
  </si>
  <si>
    <t>Balance de Comprobación al 30.11.22</t>
  </si>
  <si>
    <t>A/T 30.11.2022</t>
  </si>
  <si>
    <t>Capital</t>
  </si>
  <si>
    <t xml:space="preserve">CTA </t>
  </si>
  <si>
    <t>SALDOS FINALES DEL ESF</t>
  </si>
  <si>
    <t>SALDOS FINALES DEL ERI POR NATUR.</t>
  </si>
  <si>
    <t>SALDOS FINALES DEL ERI POR FUNCIÓN</t>
  </si>
  <si>
    <t>Pasivo y patrimonio</t>
  </si>
  <si>
    <t>Saldo 30.11.22</t>
  </si>
  <si>
    <t>Cuentas por cobrar 
comerciales</t>
  </si>
  <si>
    <t>Otras cuentas por cobrar</t>
  </si>
  <si>
    <t>Inventarios</t>
  </si>
  <si>
    <t>Cuentas por pagar 
comerciales</t>
  </si>
  <si>
    <t>Venta de bienes</t>
  </si>
  <si>
    <t>Mapping de EEFF</t>
  </si>
  <si>
    <t>Estado de Situación Financiera</t>
  </si>
  <si>
    <t>ESF</t>
  </si>
  <si>
    <t>ERI</t>
  </si>
  <si>
    <t>Anexos</t>
  </si>
  <si>
    <t>Total Pasivo</t>
  </si>
  <si>
    <t>Total Activo no corriente</t>
  </si>
  <si>
    <t>Total Activo corriente</t>
  </si>
  <si>
    <t>Total Patrimonio</t>
  </si>
  <si>
    <t>Total pasivo y patrimonio</t>
  </si>
  <si>
    <t>Total activo</t>
  </si>
  <si>
    <t>Resultados acumulados</t>
  </si>
  <si>
    <t>Estado de Resultados Integrales</t>
  </si>
  <si>
    <t>Utilidad bruta</t>
  </si>
  <si>
    <t>Utilidad operativa</t>
  </si>
  <si>
    <t>El rubro se encuentre conciliado con los bancos.</t>
  </si>
  <si>
    <t>Cuentas por cobrar comerciales</t>
  </si>
  <si>
    <t>Fecha Emisión</t>
  </si>
  <si>
    <t>Fecha Vcto</t>
  </si>
  <si>
    <t>RUC</t>
  </si>
  <si>
    <t>Razón Social</t>
  </si>
  <si>
    <t>Saldo en MN</t>
  </si>
  <si>
    <t>Saldo sg reporte al 30.11.22</t>
  </si>
  <si>
    <t>Saldo sg ESF al 30.11.22</t>
  </si>
  <si>
    <t>Diferencia</t>
  </si>
  <si>
    <t>Saldo sg. Kardex al 30.11.22</t>
  </si>
  <si>
    <t>Cta contable</t>
  </si>
  <si>
    <t>NA</t>
  </si>
  <si>
    <t>Arrendador</t>
  </si>
  <si>
    <t>OJO: FALTA INCLUIR EL IGV POR RECLAS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</si>
</sst>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_(* #,##0.00_);_(* \(#,##0.00\);_(* &quot;-&quot;??_);_(@_)"/>
    <numFmt numFmtId="165" formatCode="General_)"/>
    <numFmt numFmtId="166" formatCode="_ * #0.00_ \ ;\(_*#0.00_ \);&quot;&quot;"/>
    <numFmt numFmtId="167" formatCode="_ * #,##0.000_ ;_ * \-#,##0.000_ ;_ * &quot;-&quot;??_ ;_ @_ "/>
    <numFmt numFmtId="169" formatCode="_ * #,##0_ ;_ * \-#,##0_ ;_ * &quot;-&quot;??_ ;_ @_ "/>
  </numFmts>
  <fonts count="28">
    <font>
      <sz val="11"/>
      <color theme="1"/>
      <name val="Calibri"/>
      <family val="2"/>
      <scheme val="minor"/>
    </font>
    <font>
      <sz val="8"/>
      <color theme="1"/>
      <name val="Trebuchet MS"/>
      <family val="2"/>
    </font>
    <font>
      <b/>
      <sz val="8"/>
      <color rgb="FFFF0000"/>
      <name val="Trebuchet MS"/>
      <family val="2"/>
    </font>
    <font>
      <sz val="11"/>
      <color theme="1"/>
      <name val="Calibri"/>
      <family val="2"/>
      <scheme val="minor"/>
    </font>
    <font>
      <b/>
      <u/>
      <sz val="8"/>
      <color theme="4" tint="-0.249977111117893"/>
      <name val="Trebuchet MS"/>
      <family val="2"/>
    </font>
    <font>
      <b/>
      <sz val="8"/>
      <color theme="0"/>
      <name val="Trebuchet MS"/>
      <family val="2"/>
    </font>
    <font>
      <b/>
      <i/>
      <sz val="8"/>
      <color rgb="FF0000FF"/>
      <name val="Trebuchet MS"/>
      <family val="2"/>
    </font>
    <font>
      <b/>
      <sz val="8"/>
      <color rgb="FF008000"/>
      <name val="Trebuchet MS"/>
      <family val="2"/>
    </font>
    <font>
      <b/>
      <sz val="8"/>
      <name val="Trebuchet MS"/>
      <family val="2"/>
    </font>
    <font>
      <b/>
      <sz val="8"/>
      <color theme="1"/>
      <name val="Trebuchet MS"/>
      <family val="2"/>
    </font>
    <font>
      <sz val="10"/>
      <name val="Arial"/>
      <family val="2"/>
    </font>
    <font>
      <sz val="10"/>
      <name val="BERNHARD"/>
    </font>
    <font>
      <sz val="8"/>
      <color indexed="8"/>
      <name val="Trebuchet MS"/>
      <family val="2"/>
    </font>
    <font>
      <sz val="8"/>
      <color theme="0"/>
      <name val="Trebuchet MS"/>
      <family val="2"/>
    </font>
    <font>
      <b/>
      <sz val="8"/>
      <color indexed="9"/>
      <name val="Trebuchet MS"/>
      <family val="2"/>
    </font>
    <font>
      <sz val="10"/>
      <color indexed="8"/>
      <name val="Arial"/>
      <family val="2"/>
    </font>
    <font>
      <sz val="8"/>
      <color rgb="FFFF0000"/>
      <name val="Trebuchet MS"/>
      <family val="2"/>
    </font>
    <font>
      <sz val="8"/>
      <name val="Trebuchet MS"/>
      <family val="2"/>
    </font>
    <font>
      <sz val="8"/>
      <color rgb="FF008000"/>
      <name val="Trebuchet MS"/>
      <family val="2"/>
    </font>
    <font>
      <i/>
      <sz val="8"/>
      <color theme="1"/>
      <name val="Trebuchet MS"/>
      <family val="2"/>
    </font>
    <font>
      <b/>
      <u/>
      <sz val="8"/>
      <color theme="1"/>
      <name val="Trebuchet MS"/>
      <family val="2"/>
    </font>
    <font>
      <sz val="8"/>
      <color rgb="FF0000FF"/>
      <name val="Trebuchet MS"/>
      <family val="2"/>
    </font>
    <font>
      <i/>
      <sz val="8"/>
      <color rgb="FF0000FF"/>
      <name val="Trebuchet MS"/>
      <family val="2"/>
    </font>
    <font>
      <i/>
      <sz val="8"/>
      <color rgb="FFFF0000"/>
      <name val="Trebuchet MS"/>
      <family val="2"/>
    </font>
    <font>
      <b/>
      <u/>
      <sz val="8"/>
      <color rgb="FFFF0000"/>
      <name val="Trebuchet MS"/>
      <family val="2"/>
    </font>
    <font>
      <b/>
      <i/>
      <sz val="8"/>
      <color theme="1"/>
      <name val="Trebuchet MS"/>
      <family val="2"/>
    </font>
    <font>
      <b/>
      <i/>
      <sz val="8"/>
      <color rgb="FFFF0000"/>
      <name val="Trebuchet MS"/>
      <family val="2"/>
    </font>
    <font>
      <b/>
      <sz val="10"/>
      <color rgb="FFFF0000"/>
      <name val="Trebuchet MS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FF0000"/>
      </right>
      <top/>
      <bottom/>
      <diagonal/>
    </border>
    <border>
      <left/>
      <right/>
      <top/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3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1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0" fillId="0" borderId="0"/>
    <xf numFmtId="0" fontId="15" fillId="0" borderId="0">
      <alignment vertical="top"/>
    </xf>
    <xf numFmtId="0" fontId="15" fillId="0" borderId="0">
      <alignment vertical="top"/>
    </xf>
  </cellStyleXfs>
  <cellXfs count="299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/>
    <xf numFmtId="0" fontId="1" fillId="0" borderId="2" xfId="0" applyFont="1" applyBorder="1"/>
    <xf numFmtId="43" fontId="1" fillId="0" borderId="2" xfId="1" applyFont="1" applyBorder="1"/>
    <xf numFmtId="0" fontId="5" fillId="4" borderId="1" xfId="0" applyFont="1" applyFill="1" applyBorder="1" applyAlignment="1">
      <alignment horizontal="center" vertical="center"/>
    </xf>
    <xf numFmtId="43" fontId="1" fillId="0" borderId="0" xfId="0" applyNumberFormat="1" applyFont="1"/>
    <xf numFmtId="43" fontId="9" fillId="0" borderId="9" xfId="0" applyNumberFormat="1" applyFont="1" applyBorder="1" applyAlignment="1">
      <alignment vertical="center"/>
    </xf>
    <xf numFmtId="0" fontId="1" fillId="3" borderId="2" xfId="0" applyFont="1" applyFill="1" applyBorder="1"/>
    <xf numFmtId="0" fontId="1" fillId="2" borderId="0" xfId="0" applyFont="1" applyFill="1"/>
    <xf numFmtId="43" fontId="9" fillId="0" borderId="16" xfId="0" applyNumberFormat="1" applyFont="1" applyBorder="1" applyAlignment="1">
      <alignment vertical="center"/>
    </xf>
    <xf numFmtId="43" fontId="1" fillId="0" borderId="17" xfId="1" applyFont="1" applyBorder="1"/>
    <xf numFmtId="0" fontId="1" fillId="0" borderId="17" xfId="0" applyFont="1" applyBorder="1"/>
    <xf numFmtId="0" fontId="5" fillId="4" borderId="3" xfId="0" applyFont="1" applyFill="1" applyBorder="1" applyAlignment="1">
      <alignment horizontal="center" vertical="center"/>
    </xf>
    <xf numFmtId="0" fontId="1" fillId="4" borderId="7" xfId="0" applyFont="1" applyFill="1" applyBorder="1"/>
    <xf numFmtId="43" fontId="1" fillId="0" borderId="2" xfId="0" applyNumberFormat="1" applyFont="1" applyBorder="1"/>
    <xf numFmtId="0" fontId="5" fillId="2" borderId="18" xfId="0" applyFont="1" applyFill="1" applyBorder="1" applyAlignment="1">
      <alignment horizontal="center" vertical="center"/>
    </xf>
    <xf numFmtId="0" fontId="1" fillId="3" borderId="0" xfId="0" applyFont="1" applyFill="1"/>
    <xf numFmtId="43" fontId="1" fillId="3" borderId="2" xfId="1" applyFont="1" applyFill="1" applyBorder="1"/>
    <xf numFmtId="43" fontId="1" fillId="0" borderId="0" xfId="1" applyFont="1" applyAlignment="1">
      <alignment vertical="center"/>
    </xf>
    <xf numFmtId="43" fontId="1" fillId="0" borderId="2" xfId="1" applyFont="1" applyBorder="1" applyAlignment="1">
      <alignment vertical="center"/>
    </xf>
    <xf numFmtId="0" fontId="2" fillId="3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4" fontId="1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  <xf numFmtId="0" fontId="14" fillId="2" borderId="3" xfId="0" applyFont="1" applyFill="1" applyBorder="1" applyAlignment="1">
      <alignment horizontal="center" vertical="center"/>
    </xf>
    <xf numFmtId="43" fontId="5" fillId="2" borderId="3" xfId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3" fontId="1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14" fillId="2" borderId="18" xfId="0" applyFont="1" applyFill="1" applyBorder="1" applyAlignment="1">
      <alignment horizontal="center" vertical="center"/>
    </xf>
    <xf numFmtId="43" fontId="5" fillId="2" borderId="8" xfId="1" applyFont="1" applyFill="1" applyBorder="1" applyAlignment="1">
      <alignment horizontal="center" vertical="center"/>
    </xf>
    <xf numFmtId="43" fontId="14" fillId="2" borderId="18" xfId="1" applyFont="1" applyFill="1" applyBorder="1" applyAlignment="1">
      <alignment horizontal="center" vertical="center"/>
    </xf>
    <xf numFmtId="43" fontId="1" fillId="0" borderId="2" xfId="1" applyFont="1" applyBorder="1" applyAlignment="1">
      <alignment horizontal="center"/>
    </xf>
    <xf numFmtId="14" fontId="1" fillId="3" borderId="2" xfId="5" applyNumberFormat="1" applyFont="1" applyFill="1" applyBorder="1"/>
    <xf numFmtId="0" fontId="1" fillId="3" borderId="2" xfId="0" applyFont="1" applyFill="1" applyBorder="1" applyAlignment="1">
      <alignment horizontal="center"/>
    </xf>
    <xf numFmtId="43" fontId="1" fillId="3" borderId="2" xfId="1" applyFont="1" applyFill="1" applyBorder="1" applyAlignment="1">
      <alignment horizontal="center"/>
    </xf>
    <xf numFmtId="0" fontId="1" fillId="3" borderId="2" xfId="6" applyFont="1" applyFill="1" applyBorder="1" applyAlignment="1">
      <alignment vertical="center"/>
    </xf>
    <xf numFmtId="14" fontId="1" fillId="3" borderId="2" xfId="6" applyNumberFormat="1" applyFont="1" applyFill="1" applyBorder="1" applyAlignment="1">
      <alignment vertical="center"/>
    </xf>
    <xf numFmtId="0" fontId="1" fillId="3" borderId="2" xfId="6" quotePrefix="1" applyFont="1" applyFill="1" applyBorder="1" applyAlignment="1">
      <alignment vertical="center"/>
    </xf>
    <xf numFmtId="43" fontId="1" fillId="3" borderId="2" xfId="7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0" fontId="14" fillId="2" borderId="22" xfId="0" applyFont="1" applyFill="1" applyBorder="1" applyAlignment="1">
      <alignment horizontal="center" vertical="center"/>
    </xf>
    <xf numFmtId="0" fontId="1" fillId="3" borderId="2" xfId="8" applyFont="1" applyFill="1" applyBorder="1" applyAlignment="1">
      <alignment vertical="center"/>
    </xf>
    <xf numFmtId="14" fontId="1" fillId="3" borderId="2" xfId="8" applyNumberFormat="1" applyFont="1" applyFill="1" applyBorder="1" applyAlignment="1">
      <alignment vertical="center"/>
    </xf>
    <xf numFmtId="166" fontId="1" fillId="3" borderId="2" xfId="8" applyNumberFormat="1" applyFont="1" applyFill="1" applyBorder="1" applyAlignment="1">
      <alignment horizontal="right" vertical="center"/>
    </xf>
    <xf numFmtId="43" fontId="1" fillId="3" borderId="2" xfId="1" applyFont="1" applyFill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 applyBorder="1"/>
    <xf numFmtId="43" fontId="12" fillId="3" borderId="2" xfId="1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1" fillId="3" borderId="19" xfId="0" applyFont="1" applyFill="1" applyBorder="1" applyAlignment="1">
      <alignment horizontal="center" vertical="center"/>
    </xf>
    <xf numFmtId="43" fontId="7" fillId="3" borderId="20" xfId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49" fontId="1" fillId="0" borderId="2" xfId="0" applyNumberFormat="1" applyFont="1" applyBorder="1" applyAlignment="1">
      <alignment vertical="center"/>
    </xf>
    <xf numFmtId="49" fontId="1" fillId="0" borderId="17" xfId="0" applyNumberFormat="1" applyFont="1" applyBorder="1" applyAlignment="1">
      <alignment vertical="center"/>
    </xf>
    <xf numFmtId="43" fontId="12" fillId="3" borderId="17" xfId="1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 wrapText="1" readingOrder="1"/>
    </xf>
    <xf numFmtId="0" fontId="5" fillId="2" borderId="11" xfId="0" applyFont="1" applyFill="1" applyBorder="1" applyAlignment="1">
      <alignment horizontal="center" vertical="center" wrapText="1" readingOrder="1"/>
    </xf>
    <xf numFmtId="0" fontId="5" fillId="2" borderId="13" xfId="0" applyFont="1" applyFill="1" applyBorder="1" applyAlignment="1">
      <alignment horizontal="center" vertical="center" wrapText="1" readingOrder="1"/>
    </xf>
    <xf numFmtId="0" fontId="5" fillId="2" borderId="14" xfId="0" applyFont="1" applyFill="1" applyBorder="1" applyAlignment="1">
      <alignment horizontal="center" vertical="center" wrapText="1" readingOrder="1"/>
    </xf>
    <xf numFmtId="43" fontId="5" fillId="2" borderId="14" xfId="1" applyFont="1" applyFill="1" applyBorder="1" applyAlignment="1">
      <alignment horizontal="center" vertical="center" wrapText="1" readingOrder="1"/>
    </xf>
    <xf numFmtId="43" fontId="5" fillId="2" borderId="15" xfId="1" applyFont="1" applyFill="1" applyBorder="1" applyAlignment="1">
      <alignment horizontal="center" vertical="center" wrapText="1" readingOrder="1"/>
    </xf>
    <xf numFmtId="49" fontId="1" fillId="0" borderId="2" xfId="0" quotePrefix="1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3" fontId="1" fillId="0" borderId="2" xfId="4" applyFont="1" applyBorder="1" applyAlignment="1">
      <alignment vertical="center"/>
    </xf>
    <xf numFmtId="43" fontId="1" fillId="8" borderId="2" xfId="4" applyFont="1" applyFill="1" applyBorder="1" applyAlignment="1">
      <alignment vertical="center"/>
    </xf>
    <xf numFmtId="43" fontId="1" fillId="3" borderId="2" xfId="4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43" fontId="1" fillId="0" borderId="0" xfId="1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43" fontId="1" fillId="0" borderId="0" xfId="0" applyNumberFormat="1" applyFont="1" applyBorder="1" applyAlignment="1">
      <alignment horizontal="center"/>
    </xf>
    <xf numFmtId="0" fontId="1" fillId="3" borderId="0" xfId="6" applyFont="1" applyFill="1" applyBorder="1" applyAlignment="1">
      <alignment vertical="center"/>
    </xf>
    <xf numFmtId="14" fontId="1" fillId="3" borderId="0" xfId="6" applyNumberFormat="1" applyFont="1" applyFill="1" applyBorder="1" applyAlignment="1">
      <alignment vertical="center"/>
    </xf>
    <xf numFmtId="0" fontId="1" fillId="3" borderId="0" xfId="6" quotePrefix="1" applyFont="1" applyFill="1" applyBorder="1" applyAlignment="1">
      <alignment vertical="center"/>
    </xf>
    <xf numFmtId="43" fontId="1" fillId="3" borderId="0" xfId="7" applyFont="1" applyFill="1" applyBorder="1" applyAlignment="1">
      <alignment vertical="center"/>
    </xf>
    <xf numFmtId="0" fontId="1" fillId="3" borderId="0" xfId="0" applyFont="1" applyFill="1" applyBorder="1" applyAlignment="1">
      <alignment horizontal="center"/>
    </xf>
    <xf numFmtId="43" fontId="1" fillId="3" borderId="0" xfId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43" fontId="1" fillId="3" borderId="0" xfId="1" applyFont="1" applyFill="1" applyBorder="1"/>
    <xf numFmtId="43" fontId="9" fillId="3" borderId="9" xfId="7" applyFont="1" applyFill="1" applyBorder="1" applyAlignment="1">
      <alignment vertical="center"/>
    </xf>
    <xf numFmtId="1" fontId="1" fillId="3" borderId="0" xfId="7" applyNumberFormat="1" applyFont="1" applyFill="1" applyBorder="1" applyAlignment="1">
      <alignment vertical="center"/>
    </xf>
    <xf numFmtId="43" fontId="9" fillId="0" borderId="9" xfId="1" applyFont="1" applyBorder="1"/>
    <xf numFmtId="0" fontId="1" fillId="6" borderId="0" xfId="0" applyFont="1" applyFill="1"/>
    <xf numFmtId="43" fontId="17" fillId="3" borderId="20" xfId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43" fontId="9" fillId="0" borderId="9" xfId="0" applyNumberFormat="1" applyFont="1" applyBorder="1" applyAlignment="1">
      <alignment horizontal="center"/>
    </xf>
    <xf numFmtId="0" fontId="1" fillId="5" borderId="2" xfId="6" applyFont="1" applyFill="1" applyBorder="1" applyAlignment="1">
      <alignment vertical="center"/>
    </xf>
    <xf numFmtId="14" fontId="1" fillId="5" borderId="2" xfId="6" applyNumberFormat="1" applyFont="1" applyFill="1" applyBorder="1" applyAlignment="1">
      <alignment vertical="center"/>
    </xf>
    <xf numFmtId="14" fontId="1" fillId="5" borderId="2" xfId="5" applyNumberFormat="1" applyFont="1" applyFill="1" applyBorder="1"/>
    <xf numFmtId="0" fontId="1" fillId="5" borderId="2" xfId="6" quotePrefix="1" applyFont="1" applyFill="1" applyBorder="1" applyAlignment="1">
      <alignment vertical="center"/>
    </xf>
    <xf numFmtId="43" fontId="1" fillId="5" borderId="2" xfId="7" applyFont="1" applyFill="1" applyBorder="1" applyAlignment="1">
      <alignment vertical="center"/>
    </xf>
    <xf numFmtId="0" fontId="1" fillId="5" borderId="2" xfId="0" applyFont="1" applyFill="1" applyBorder="1" applyAlignment="1">
      <alignment horizontal="center"/>
    </xf>
    <xf numFmtId="14" fontId="1" fillId="5" borderId="2" xfId="0" applyNumberFormat="1" applyFont="1" applyFill="1" applyBorder="1" applyAlignment="1">
      <alignment vertical="center"/>
    </xf>
    <xf numFmtId="43" fontId="1" fillId="5" borderId="2" xfId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43" fontId="18" fillId="0" borderId="2" xfId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6" borderId="2" xfId="0" applyFont="1" applyFill="1" applyBorder="1" applyAlignment="1">
      <alignment vertical="center"/>
    </xf>
    <xf numFmtId="0" fontId="6" fillId="6" borderId="0" xfId="0" applyFont="1" applyFill="1"/>
    <xf numFmtId="43" fontId="9" fillId="3" borderId="9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43" fontId="1" fillId="0" borderId="0" xfId="0" applyNumberFormat="1" applyFont="1" applyAlignment="1">
      <alignment vertical="center"/>
    </xf>
    <xf numFmtId="0" fontId="1" fillId="5" borderId="0" xfId="0" applyFont="1" applyFill="1" applyAlignment="1">
      <alignment vertical="center"/>
    </xf>
    <xf numFmtId="0" fontId="19" fillId="5" borderId="0" xfId="0" applyFont="1" applyFill="1" applyAlignment="1">
      <alignment vertical="center"/>
    </xf>
    <xf numFmtId="43" fontId="19" fillId="5" borderId="0" xfId="0" applyNumberFormat="1" applyFont="1" applyFill="1" applyAlignment="1">
      <alignment vertical="center"/>
    </xf>
    <xf numFmtId="0" fontId="19" fillId="11" borderId="0" xfId="0" applyFont="1" applyFill="1" applyAlignment="1">
      <alignment vertical="center"/>
    </xf>
    <xf numFmtId="43" fontId="19" fillId="11" borderId="0" xfId="0" applyNumberFormat="1" applyFont="1" applyFill="1" applyAlignment="1">
      <alignment vertical="center"/>
    </xf>
    <xf numFmtId="0" fontId="19" fillId="11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1" fontId="1" fillId="3" borderId="0" xfId="7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43" fontId="9" fillId="0" borderId="9" xfId="0" applyNumberFormat="1" applyFont="1" applyBorder="1"/>
    <xf numFmtId="0" fontId="9" fillId="0" borderId="9" xfId="0" applyFont="1" applyBorder="1"/>
    <xf numFmtId="0" fontId="5" fillId="13" borderId="0" xfId="6" applyFont="1" applyFill="1" applyBorder="1" applyAlignment="1">
      <alignment horizontal="center" vertical="center"/>
    </xf>
    <xf numFmtId="43" fontId="5" fillId="13" borderId="0" xfId="7" applyFont="1" applyFill="1" applyBorder="1" applyAlignment="1">
      <alignment horizontal="center" vertical="center"/>
    </xf>
    <xf numFmtId="14" fontId="1" fillId="6" borderId="2" xfId="0" applyNumberFormat="1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43" fontId="1" fillId="6" borderId="2" xfId="0" applyNumberFormat="1" applyFont="1" applyFill="1" applyBorder="1" applyAlignment="1">
      <alignment horizontal="center"/>
    </xf>
    <xf numFmtId="0" fontId="1" fillId="5" borderId="0" xfId="0" applyFont="1" applyFill="1"/>
    <xf numFmtId="167" fontId="7" fillId="3" borderId="20" xfId="1" applyNumberFormat="1" applyFont="1" applyFill="1" applyBorder="1" applyAlignment="1">
      <alignment horizontal="center" vertical="center"/>
    </xf>
    <xf numFmtId="0" fontId="20" fillId="0" borderId="0" xfId="0" applyFont="1"/>
    <xf numFmtId="0" fontId="5" fillId="13" borderId="0" xfId="0" applyFont="1" applyFill="1" applyAlignment="1">
      <alignment horizontal="center" vertical="center"/>
    </xf>
    <xf numFmtId="1" fontId="21" fillId="3" borderId="0" xfId="7" applyNumberFormat="1" applyFont="1" applyFill="1" applyBorder="1" applyAlignment="1">
      <alignment vertical="center"/>
    </xf>
    <xf numFmtId="1" fontId="21" fillId="3" borderId="0" xfId="7" applyNumberFormat="1" applyFont="1" applyFill="1" applyBorder="1" applyAlignment="1">
      <alignment horizontal="center" vertical="center"/>
    </xf>
    <xf numFmtId="43" fontId="21" fillId="3" borderId="0" xfId="6" applyNumberFormat="1" applyFont="1" applyFill="1" applyBorder="1" applyAlignment="1">
      <alignment vertical="center"/>
    </xf>
    <xf numFmtId="1" fontId="22" fillId="3" borderId="0" xfId="7" applyNumberFormat="1" applyFont="1" applyFill="1" applyBorder="1" applyAlignment="1">
      <alignment vertical="center"/>
    </xf>
    <xf numFmtId="1" fontId="22" fillId="3" borderId="0" xfId="7" applyNumberFormat="1" applyFont="1" applyFill="1" applyBorder="1" applyAlignment="1">
      <alignment horizontal="center" vertical="center"/>
    </xf>
    <xf numFmtId="43" fontId="22" fillId="3" borderId="0" xfId="6" applyNumberFormat="1" applyFont="1" applyFill="1" applyBorder="1" applyAlignment="1">
      <alignment vertical="center"/>
    </xf>
    <xf numFmtId="0" fontId="22" fillId="3" borderId="0" xfId="6" applyFont="1" applyFill="1" applyBorder="1" applyAlignment="1">
      <alignment vertical="center"/>
    </xf>
    <xf numFmtId="0" fontId="22" fillId="5" borderId="0" xfId="0" applyFont="1" applyFill="1" applyAlignment="1">
      <alignment horizontal="center"/>
    </xf>
    <xf numFmtId="0" fontId="22" fillId="5" borderId="0" xfId="6" applyFont="1" applyFill="1" applyBorder="1" applyAlignment="1">
      <alignment vertical="center"/>
    </xf>
    <xf numFmtId="43" fontId="22" fillId="5" borderId="0" xfId="6" applyNumberFormat="1" applyFont="1" applyFill="1" applyBorder="1" applyAlignment="1">
      <alignment vertical="center"/>
    </xf>
    <xf numFmtId="43" fontId="5" fillId="2" borderId="11" xfId="1" applyFont="1" applyFill="1" applyBorder="1" applyAlignment="1">
      <alignment horizontal="center" vertical="center" wrapText="1" readingOrder="1"/>
    </xf>
    <xf numFmtId="43" fontId="5" fillId="2" borderId="12" xfId="1" applyFont="1" applyFill="1" applyBorder="1" applyAlignment="1">
      <alignment horizontal="center" vertical="center" wrapText="1" readingOrder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 wrapText="1"/>
    </xf>
    <xf numFmtId="43" fontId="13" fillId="2" borderId="6" xfId="1" applyFont="1" applyFill="1" applyBorder="1" applyAlignment="1">
      <alignment horizontal="center" vertical="center" wrapText="1"/>
    </xf>
    <xf numFmtId="43" fontId="5" fillId="2" borderId="4" xfId="1" applyFont="1" applyFill="1" applyBorder="1" applyAlignment="1">
      <alignment horizontal="center" vertical="center" wrapText="1"/>
    </xf>
    <xf numFmtId="43" fontId="13" fillId="2" borderId="5" xfId="1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left"/>
    </xf>
    <xf numFmtId="43" fontId="22" fillId="5" borderId="0" xfId="0" applyNumberFormat="1" applyFont="1" applyFill="1" applyAlignment="1">
      <alignment horizontal="center"/>
    </xf>
    <xf numFmtId="0" fontId="1" fillId="5" borderId="0" xfId="0" applyFont="1" applyFill="1" applyAlignment="1">
      <alignment horizontal="center"/>
    </xf>
    <xf numFmtId="1" fontId="22" fillId="5" borderId="0" xfId="7" applyNumberFormat="1" applyFont="1" applyFill="1" applyBorder="1" applyAlignment="1">
      <alignment horizontal="left" vertical="center"/>
    </xf>
    <xf numFmtId="43" fontId="1" fillId="5" borderId="0" xfId="0" applyNumberFormat="1" applyFont="1" applyFill="1" applyAlignment="1">
      <alignment vertical="center"/>
    </xf>
    <xf numFmtId="43" fontId="1" fillId="0" borderId="0" xfId="1" applyFont="1" applyAlignment="1">
      <alignment horizontal="center"/>
    </xf>
    <xf numFmtId="1" fontId="23" fillId="5" borderId="0" xfId="7" applyNumberFormat="1" applyFont="1" applyFill="1" applyBorder="1" applyAlignment="1">
      <alignment horizontal="left" vertical="center"/>
    </xf>
    <xf numFmtId="43" fontId="23" fillId="5" borderId="0" xfId="0" applyNumberFormat="1" applyFont="1" applyFill="1" applyAlignment="1">
      <alignment horizontal="center"/>
    </xf>
    <xf numFmtId="0" fontId="24" fillId="0" borderId="0" xfId="0" applyFont="1" applyAlignment="1">
      <alignment horizontal="left"/>
    </xf>
    <xf numFmtId="0" fontId="19" fillId="5" borderId="8" xfId="0" applyFont="1" applyFill="1" applyBorder="1" applyAlignment="1">
      <alignment vertical="center"/>
    </xf>
    <xf numFmtId="0" fontId="19" fillId="5" borderId="23" xfId="0" applyFont="1" applyFill="1" applyBorder="1" applyAlignment="1">
      <alignment vertical="center"/>
    </xf>
    <xf numFmtId="0" fontId="19" fillId="6" borderId="8" xfId="0" applyFont="1" applyFill="1" applyBorder="1" applyAlignment="1">
      <alignment vertical="center"/>
    </xf>
    <xf numFmtId="0" fontId="19" fillId="6" borderId="23" xfId="0" applyFont="1" applyFill="1" applyBorder="1" applyAlignment="1">
      <alignment vertical="center"/>
    </xf>
    <xf numFmtId="43" fontId="19" fillId="6" borderId="23" xfId="0" applyNumberFormat="1" applyFont="1" applyFill="1" applyBorder="1" applyAlignment="1">
      <alignment vertical="center"/>
    </xf>
    <xf numFmtId="0" fontId="1" fillId="6" borderId="24" xfId="0" applyFont="1" applyFill="1" applyBorder="1" applyAlignment="1">
      <alignment vertical="center"/>
    </xf>
    <xf numFmtId="0" fontId="19" fillId="6" borderId="25" xfId="0" applyFont="1" applyFill="1" applyBorder="1" applyAlignment="1">
      <alignment vertical="center"/>
    </xf>
    <xf numFmtId="0" fontId="19" fillId="6" borderId="26" xfId="0" applyFont="1" applyFill="1" applyBorder="1" applyAlignment="1">
      <alignment vertical="center"/>
    </xf>
    <xf numFmtId="43" fontId="19" fillId="6" borderId="27" xfId="0" applyNumberFormat="1" applyFont="1" applyFill="1" applyBorder="1" applyAlignment="1">
      <alignment vertical="center"/>
    </xf>
    <xf numFmtId="0" fontId="25" fillId="0" borderId="0" xfId="0" applyFont="1" applyAlignment="1">
      <alignment horizontal="center"/>
    </xf>
    <xf numFmtId="0" fontId="1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/>
    </xf>
    <xf numFmtId="43" fontId="1" fillId="5" borderId="23" xfId="0" applyNumberFormat="1" applyFont="1" applyFill="1" applyBorder="1" applyAlignment="1">
      <alignment horizontal="center"/>
    </xf>
    <xf numFmtId="0" fontId="1" fillId="5" borderId="24" xfId="0" applyFont="1" applyFill="1" applyBorder="1" applyAlignment="1">
      <alignment horizontal="center"/>
    </xf>
    <xf numFmtId="1" fontId="23" fillId="5" borderId="25" xfId="7" applyNumberFormat="1" applyFont="1" applyFill="1" applyBorder="1" applyAlignment="1">
      <alignment horizontal="left" vertical="center"/>
    </xf>
    <xf numFmtId="1" fontId="23" fillId="5" borderId="26" xfId="7" applyNumberFormat="1" applyFont="1" applyFill="1" applyBorder="1" applyAlignment="1">
      <alignment horizontal="left" vertical="center"/>
    </xf>
    <xf numFmtId="0" fontId="1" fillId="5" borderId="26" xfId="0" applyFont="1" applyFill="1" applyBorder="1" applyAlignment="1">
      <alignment horizontal="center"/>
    </xf>
    <xf numFmtId="43" fontId="1" fillId="5" borderId="27" xfId="1" applyFont="1" applyFill="1" applyBorder="1" applyAlignment="1">
      <alignment horizontal="center"/>
    </xf>
    <xf numFmtId="43" fontId="9" fillId="5" borderId="1" xfId="0" applyNumberFormat="1" applyFont="1" applyFill="1" applyBorder="1" applyAlignment="1">
      <alignment horizontal="center"/>
    </xf>
    <xf numFmtId="0" fontId="1" fillId="13" borderId="0" xfId="0" applyFont="1" applyFill="1" applyAlignment="1">
      <alignment vertical="center"/>
    </xf>
    <xf numFmtId="0" fontId="5" fillId="13" borderId="1" xfId="0" applyFont="1" applyFill="1" applyBorder="1" applyAlignment="1">
      <alignment horizontal="center" vertical="center"/>
    </xf>
    <xf numFmtId="0" fontId="13" fillId="13" borderId="4" xfId="0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horizontal="center" vertical="center"/>
    </xf>
    <xf numFmtId="0" fontId="13" fillId="13" borderId="6" xfId="0" applyFont="1" applyFill="1" applyBorder="1" applyAlignment="1">
      <alignment horizontal="center" vertical="center"/>
    </xf>
    <xf numFmtId="0" fontId="5" fillId="13" borderId="3" xfId="0" applyFont="1" applyFill="1" applyBorder="1" applyAlignment="1">
      <alignment horizontal="center" vertical="center"/>
    </xf>
    <xf numFmtId="0" fontId="1" fillId="0" borderId="2" xfId="0" quotePrefix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3" fontId="1" fillId="6" borderId="2" xfId="0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43" fontId="1" fillId="6" borderId="2" xfId="1" applyFont="1" applyFill="1" applyBorder="1" applyAlignment="1">
      <alignment vertical="center"/>
    </xf>
    <xf numFmtId="43" fontId="9" fillId="0" borderId="9" xfId="1" applyFont="1" applyBorder="1" applyAlignment="1">
      <alignment vertical="center"/>
    </xf>
    <xf numFmtId="43" fontId="1" fillId="5" borderId="0" xfId="0" applyNumberFormat="1" applyFont="1" applyFill="1"/>
    <xf numFmtId="43" fontId="17" fillId="0" borderId="2" xfId="1" applyFont="1" applyBorder="1" applyAlignment="1">
      <alignment horizontal="center" vertical="center"/>
    </xf>
    <xf numFmtId="0" fontId="1" fillId="13" borderId="0" xfId="0" applyFont="1" applyFill="1"/>
    <xf numFmtId="0" fontId="5" fillId="13" borderId="3" xfId="0" applyFont="1" applyFill="1" applyBorder="1" applyAlignment="1">
      <alignment horizontal="center" vertical="center" wrapText="1"/>
    </xf>
    <xf numFmtId="0" fontId="2" fillId="0" borderId="0" xfId="0" applyFont="1"/>
    <xf numFmtId="0" fontId="24" fillId="0" borderId="0" xfId="0" applyFont="1"/>
    <xf numFmtId="43" fontId="1" fillId="0" borderId="0" xfId="1" applyFont="1"/>
    <xf numFmtId="0" fontId="2" fillId="3" borderId="1" xfId="0" applyFont="1" applyFill="1" applyBorder="1" applyAlignment="1">
      <alignment horizontal="center" vertical="center" wrapText="1"/>
    </xf>
    <xf numFmtId="43" fontId="1" fillId="6" borderId="0" xfId="1" applyFont="1" applyFill="1"/>
    <xf numFmtId="43" fontId="1" fillId="6" borderId="0" xfId="0" applyNumberFormat="1" applyFont="1" applyFill="1"/>
    <xf numFmtId="43" fontId="1" fillId="5" borderId="0" xfId="1" applyFont="1" applyFill="1"/>
    <xf numFmtId="0" fontId="1" fillId="14" borderId="0" xfId="0" applyFont="1" applyFill="1"/>
    <xf numFmtId="43" fontId="1" fillId="14" borderId="0" xfId="1" applyFont="1" applyFill="1"/>
    <xf numFmtId="43" fontId="1" fillId="14" borderId="0" xfId="0" applyNumberFormat="1" applyFont="1" applyFill="1"/>
    <xf numFmtId="43" fontId="1" fillId="0" borderId="2" xfId="0" applyNumberFormat="1" applyFont="1" applyBorder="1" applyAlignment="1">
      <alignment horizontal="center" vertical="center"/>
    </xf>
    <xf numFmtId="17" fontId="5" fillId="13" borderId="3" xfId="0" applyNumberFormat="1" applyFont="1" applyFill="1" applyBorder="1" applyAlignment="1">
      <alignment horizontal="center" vertical="center" wrapText="1"/>
    </xf>
    <xf numFmtId="0" fontId="1" fillId="14" borderId="2" xfId="0" applyFont="1" applyFill="1" applyBorder="1"/>
    <xf numFmtId="43" fontId="17" fillId="14" borderId="2" xfId="1" applyFont="1" applyFill="1" applyBorder="1" applyAlignment="1">
      <alignment horizontal="center" vertical="center"/>
    </xf>
    <xf numFmtId="14" fontId="1" fillId="14" borderId="2" xfId="0" applyNumberFormat="1" applyFont="1" applyFill="1" applyBorder="1" applyAlignment="1">
      <alignment horizontal="center" vertical="center"/>
    </xf>
    <xf numFmtId="43" fontId="1" fillId="14" borderId="2" xfId="0" applyNumberFormat="1" applyFont="1" applyFill="1" applyBorder="1" applyAlignment="1">
      <alignment horizontal="center" vertical="center"/>
    </xf>
    <xf numFmtId="9" fontId="1" fillId="14" borderId="2" xfId="0" applyNumberFormat="1" applyFont="1" applyFill="1" applyBorder="1" applyAlignment="1">
      <alignment horizontal="center" vertical="center"/>
    </xf>
    <xf numFmtId="43" fontId="1" fillId="14" borderId="2" xfId="1" applyFont="1" applyFill="1" applyBorder="1" applyAlignment="1">
      <alignment horizontal="center" vertical="center"/>
    </xf>
    <xf numFmtId="0" fontId="1" fillId="6" borderId="2" xfId="0" applyFont="1" applyFill="1" applyBorder="1"/>
    <xf numFmtId="43" fontId="17" fillId="6" borderId="2" xfId="1" applyFont="1" applyFill="1" applyBorder="1" applyAlignment="1">
      <alignment horizontal="center" vertical="center"/>
    </xf>
    <xf numFmtId="14" fontId="1" fillId="6" borderId="2" xfId="0" applyNumberFormat="1" applyFont="1" applyFill="1" applyBorder="1" applyAlignment="1">
      <alignment horizontal="center" vertical="center"/>
    </xf>
    <xf numFmtId="43" fontId="1" fillId="6" borderId="2" xfId="0" applyNumberFormat="1" applyFont="1" applyFill="1" applyBorder="1" applyAlignment="1">
      <alignment horizontal="center" vertical="center"/>
    </xf>
    <xf numFmtId="9" fontId="1" fillId="6" borderId="2" xfId="0" applyNumberFormat="1" applyFont="1" applyFill="1" applyBorder="1" applyAlignment="1">
      <alignment horizontal="center" vertical="center"/>
    </xf>
    <xf numFmtId="43" fontId="1" fillId="6" borderId="2" xfId="1" applyFont="1" applyFill="1" applyBorder="1" applyAlignment="1">
      <alignment horizontal="center" vertical="center"/>
    </xf>
    <xf numFmtId="0" fontId="9" fillId="0" borderId="0" xfId="0" applyFont="1"/>
    <xf numFmtId="0" fontId="0" fillId="6" borderId="0" xfId="0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43" fontId="1" fillId="3" borderId="0" xfId="0" applyNumberFormat="1" applyFont="1" applyFill="1" applyAlignment="1">
      <alignment vertical="center"/>
    </xf>
    <xf numFmtId="0" fontId="19" fillId="3" borderId="0" xfId="0" applyFont="1" applyFill="1" applyAlignment="1">
      <alignment vertical="center"/>
    </xf>
    <xf numFmtId="43" fontId="19" fillId="3" borderId="0" xfId="0" applyNumberFormat="1" applyFont="1" applyFill="1" applyAlignment="1">
      <alignment vertical="center"/>
    </xf>
    <xf numFmtId="0" fontId="23" fillId="3" borderId="0" xfId="0" applyFont="1" applyFill="1" applyAlignment="1">
      <alignment vertical="center"/>
    </xf>
    <xf numFmtId="0" fontId="1" fillId="3" borderId="0" xfId="0" applyFont="1" applyFill="1" applyAlignment="1">
      <alignment horizontal="left" vertical="center"/>
    </xf>
    <xf numFmtId="43" fontId="1" fillId="3" borderId="0" xfId="1" applyFont="1" applyFill="1" applyAlignment="1">
      <alignment vertical="center"/>
    </xf>
    <xf numFmtId="0" fontId="5" fillId="13" borderId="1" xfId="0" applyFont="1" applyFill="1" applyBorder="1" applyAlignment="1">
      <alignment horizontal="left" vertical="center"/>
    </xf>
    <xf numFmtId="0" fontId="19" fillId="3" borderId="0" xfId="0" applyFont="1" applyFill="1" applyAlignment="1">
      <alignment horizontal="left" vertical="center"/>
    </xf>
    <xf numFmtId="0" fontId="1" fillId="5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43" fontId="5" fillId="13" borderId="1" xfId="1" applyFont="1" applyFill="1" applyBorder="1" applyAlignment="1">
      <alignment horizontal="center" vertical="center"/>
    </xf>
    <xf numFmtId="43" fontId="19" fillId="3" borderId="0" xfId="1" applyFont="1" applyFill="1" applyAlignment="1">
      <alignment vertical="center"/>
    </xf>
    <xf numFmtId="43" fontId="1" fillId="3" borderId="0" xfId="1" applyFont="1" applyFill="1"/>
    <xf numFmtId="0" fontId="1" fillId="0" borderId="0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43" fontId="1" fillId="6" borderId="0" xfId="1" applyFont="1" applyFill="1" applyAlignment="1">
      <alignment vertical="center"/>
    </xf>
    <xf numFmtId="0" fontId="5" fillId="2" borderId="30" xfId="0" applyFont="1" applyFill="1" applyBorder="1" applyAlignment="1">
      <alignment horizontal="center" vertical="center" wrapText="1" readingOrder="1"/>
    </xf>
    <xf numFmtId="0" fontId="5" fillId="2" borderId="31" xfId="0" applyFont="1" applyFill="1" applyBorder="1" applyAlignment="1">
      <alignment horizontal="center" vertical="center" wrapText="1" readingOrder="1"/>
    </xf>
    <xf numFmtId="43" fontId="5" fillId="2" borderId="31" xfId="1" applyFont="1" applyFill="1" applyBorder="1" applyAlignment="1">
      <alignment horizontal="center" vertical="center" wrapText="1" readingOrder="1"/>
    </xf>
    <xf numFmtId="43" fontId="5" fillId="2" borderId="32" xfId="1" applyFont="1" applyFill="1" applyBorder="1" applyAlignment="1">
      <alignment horizontal="center" vertical="center" wrapText="1" readingOrder="1"/>
    </xf>
    <xf numFmtId="43" fontId="5" fillId="6" borderId="11" xfId="1" applyFont="1" applyFill="1" applyBorder="1" applyAlignment="1">
      <alignment horizontal="center" vertical="center" wrapText="1" readingOrder="1"/>
    </xf>
    <xf numFmtId="43" fontId="5" fillId="6" borderId="31" xfId="1" applyFont="1" applyFill="1" applyBorder="1" applyAlignment="1">
      <alignment horizontal="center" vertical="center" wrapText="1" readingOrder="1"/>
    </xf>
    <xf numFmtId="0" fontId="1" fillId="6" borderId="0" xfId="0" applyFont="1" applyFill="1" applyAlignment="1">
      <alignment horizontal="left" vertical="center"/>
    </xf>
    <xf numFmtId="0" fontId="1" fillId="6" borderId="0" xfId="0" applyFont="1" applyFill="1" applyBorder="1" applyAlignment="1">
      <alignment vertical="center"/>
    </xf>
    <xf numFmtId="43" fontId="1" fillId="6" borderId="0" xfId="0" applyNumberFormat="1" applyFont="1" applyFill="1" applyAlignment="1">
      <alignment vertical="center"/>
    </xf>
    <xf numFmtId="169" fontId="1" fillId="0" borderId="0" xfId="0" applyNumberFormat="1" applyFont="1"/>
    <xf numFmtId="169" fontId="9" fillId="0" borderId="9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69" fontId="1" fillId="0" borderId="0" xfId="0" applyNumberFormat="1" applyFont="1" applyAlignment="1">
      <alignment vertical="center"/>
    </xf>
    <xf numFmtId="17" fontId="9" fillId="0" borderId="0" xfId="0" applyNumberFormat="1" applyFont="1" applyAlignment="1">
      <alignment horizontal="center" vertical="center"/>
    </xf>
    <xf numFmtId="17" fontId="9" fillId="0" borderId="0" xfId="0" applyNumberFormat="1" applyFont="1" applyAlignment="1">
      <alignment horizontal="left" vertical="center"/>
    </xf>
    <xf numFmtId="0" fontId="1" fillId="6" borderId="0" xfId="0" applyFont="1" applyFill="1" applyAlignment="1">
      <alignment horizontal="left"/>
    </xf>
    <xf numFmtId="169" fontId="1" fillId="6" borderId="0" xfId="0" applyNumberFormat="1" applyFont="1" applyFill="1"/>
    <xf numFmtId="169" fontId="1" fillId="0" borderId="0" xfId="1" applyNumberFormat="1" applyFont="1" applyAlignment="1">
      <alignment vertical="center"/>
    </xf>
    <xf numFmtId="169" fontId="9" fillId="0" borderId="9" xfId="1" applyNumberFormat="1" applyFont="1" applyBorder="1" applyAlignment="1">
      <alignment vertical="center"/>
    </xf>
    <xf numFmtId="169" fontId="9" fillId="0" borderId="0" xfId="0" applyNumberFormat="1" applyFont="1" applyBorder="1" applyAlignment="1">
      <alignment vertical="center"/>
    </xf>
    <xf numFmtId="169" fontId="26" fillId="0" borderId="0" xfId="0" applyNumberFormat="1" applyFont="1"/>
    <xf numFmtId="0" fontId="26" fillId="0" borderId="0" xfId="0" applyFont="1" applyAlignment="1">
      <alignment vertical="center"/>
    </xf>
    <xf numFmtId="14" fontId="1" fillId="3" borderId="17" xfId="8" applyNumberFormat="1" applyFont="1" applyFill="1" applyBorder="1" applyAlignment="1">
      <alignment vertical="center"/>
    </xf>
    <xf numFmtId="43" fontId="9" fillId="0" borderId="0" xfId="0" applyNumberFormat="1" applyFont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9" fontId="1" fillId="5" borderId="0" xfId="0" applyNumberFormat="1" applyFont="1" applyFill="1"/>
    <xf numFmtId="0" fontId="1" fillId="3" borderId="2" xfId="0" applyFont="1" applyFill="1" applyBorder="1" applyAlignment="1">
      <alignment horizontal="center" vertical="center"/>
    </xf>
    <xf numFmtId="17" fontId="13" fillId="13" borderId="3" xfId="0" applyNumberFormat="1" applyFont="1" applyFill="1" applyBorder="1" applyAlignment="1">
      <alignment horizontal="center" vertical="center"/>
    </xf>
    <xf numFmtId="43" fontId="16" fillId="0" borderId="0" xfId="0" applyNumberFormat="1" applyFont="1" applyAlignment="1">
      <alignment vertical="center"/>
    </xf>
    <xf numFmtId="0" fontId="27" fillId="6" borderId="0" xfId="0" applyFont="1" applyFill="1" applyAlignment="1">
      <alignment vertical="center"/>
    </xf>
  </cellXfs>
  <cellStyles count="12">
    <cellStyle name="Millares" xfId="1" builtinId="3"/>
    <cellStyle name="Millares 2" xfId="2" xr:uid="{00000000-0005-0000-0000-000001000000}"/>
    <cellStyle name="Millares 3" xfId="4" xr:uid="{EA350F86-9467-47DC-85A6-CFBEE0FC1D74}"/>
    <cellStyle name="Millares 46" xfId="7" xr:uid="{9E6D6668-7695-455D-A983-EB6014561C38}"/>
    <cellStyle name="Normal" xfId="0" builtinId="0"/>
    <cellStyle name="Normal 1131" xfId="5" xr:uid="{E32C2594-789D-41FE-98F9-BDDAF513D488}"/>
    <cellStyle name="Normal 1628" xfId="6" xr:uid="{A842E9EA-B244-48BB-9975-92829ECEF98B}"/>
    <cellStyle name="Normal 1638" xfId="8" xr:uid="{90BBCEF6-F9C1-481C-92B8-92ED0B6AB768}"/>
    <cellStyle name="Normal 2" xfId="3" xr:uid="{00000000-0005-0000-0000-000003000000}"/>
    <cellStyle name="Normal 2 2" xfId="10" xr:uid="{ECC39B51-981B-47C9-BAC1-8C915B91385F}"/>
    <cellStyle name="Normal 3" xfId="9" xr:uid="{798C4AFF-1123-4C94-A8D9-4DD67DBA98CF}"/>
    <cellStyle name="Normal 3 2" xfId="11" xr:uid="{429C1938-1D5C-403C-83B2-CA8BA96CDA73}"/>
  </cellStyles>
  <dxfs count="0"/>
  <tableStyles count="0" defaultTableStyle="TableStyleMedium2" defaultPivotStyle="PivotStyleLight16"/>
  <colors>
    <mruColors>
      <color rgb="FFCCFFCC"/>
      <color rgb="FFFFFFCC"/>
      <color rgb="FF0000FF"/>
      <color rgb="FFCCFF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7</xdr:row>
      <xdr:rowOff>127000</xdr:rowOff>
    </xdr:from>
    <xdr:to>
      <xdr:col>2</xdr:col>
      <xdr:colOff>736600</xdr:colOff>
      <xdr:row>17</xdr:row>
      <xdr:rowOff>114300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F63C4AB1-A684-4720-AD57-25DF84FD5260}"/>
            </a:ext>
          </a:extLst>
        </xdr:cNvPr>
        <xdr:cNvSpPr/>
      </xdr:nvSpPr>
      <xdr:spPr>
        <a:xfrm>
          <a:off x="590550" y="1193800"/>
          <a:ext cx="1670050" cy="1511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Análisis</a:t>
          </a:r>
          <a:r>
            <a:rPr lang="es-PE" sz="1100" baseline="0"/>
            <a:t> de la operación</a:t>
          </a:r>
        </a:p>
        <a:p>
          <a:pPr algn="l"/>
          <a:r>
            <a:rPr lang="es-PE" sz="1100" baseline="0"/>
            <a:t>Libro Diario</a:t>
          </a:r>
        </a:p>
        <a:p>
          <a:pPr algn="l"/>
          <a:r>
            <a:rPr lang="es-PE" sz="1100" baseline="0"/>
            <a:t>Libro Mayor</a:t>
          </a:r>
        </a:p>
        <a:p>
          <a:pPr algn="l"/>
          <a:r>
            <a:rPr lang="es-PE" sz="1100" baseline="0"/>
            <a:t>B/C</a:t>
          </a:r>
        </a:p>
        <a:p>
          <a:pPr algn="l"/>
          <a:r>
            <a:rPr lang="es-PE" sz="1100" baseline="0"/>
            <a:t>ESF</a:t>
          </a:r>
        </a:p>
        <a:p>
          <a:pPr algn="l"/>
          <a:r>
            <a:rPr lang="es-PE" sz="1100" baseline="0"/>
            <a:t>ERI</a:t>
          </a:r>
        </a:p>
        <a:p>
          <a:pPr algn="l"/>
          <a:endParaRPr lang="es-PE" sz="1100" baseline="0"/>
        </a:p>
        <a:p>
          <a:pPr algn="l"/>
          <a:endParaRPr lang="es-PE" sz="1100"/>
        </a:p>
      </xdr:txBody>
    </xdr:sp>
    <xdr:clientData/>
  </xdr:twoCellAnchor>
  <xdr:twoCellAnchor>
    <xdr:from>
      <xdr:col>0</xdr:col>
      <xdr:colOff>742950</xdr:colOff>
      <xdr:row>2</xdr:row>
      <xdr:rowOff>139700</xdr:rowOff>
    </xdr:from>
    <xdr:to>
      <xdr:col>2</xdr:col>
      <xdr:colOff>533400</xdr:colOff>
      <xdr:row>6</xdr:row>
      <xdr:rowOff>69850</xdr:rowOff>
    </xdr:to>
    <xdr:sp macro="" textlink="">
      <xdr:nvSpPr>
        <xdr:cNvPr id="4" name="Flecha: hacia abajo 3">
          <a:extLst>
            <a:ext uri="{FF2B5EF4-FFF2-40B4-BE49-F238E27FC236}">
              <a16:creationId xmlns:a16="http://schemas.microsoft.com/office/drawing/2014/main" id="{350CB82E-0895-4A18-AA3F-9DA0B360340A}"/>
            </a:ext>
          </a:extLst>
        </xdr:cNvPr>
        <xdr:cNvSpPr/>
      </xdr:nvSpPr>
      <xdr:spPr>
        <a:xfrm>
          <a:off x="742950" y="444500"/>
          <a:ext cx="1314450" cy="539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Pas</a:t>
          </a:r>
          <a:r>
            <a:rPr lang="es-PE" sz="1100" baseline="0"/>
            <a:t>o 1</a:t>
          </a:r>
          <a:endParaRPr lang="es-PE" sz="1100"/>
        </a:p>
      </xdr:txBody>
    </xdr:sp>
    <xdr:clientData/>
  </xdr:twoCellAnchor>
  <xdr:twoCellAnchor>
    <xdr:from>
      <xdr:col>3</xdr:col>
      <xdr:colOff>317500</xdr:colOff>
      <xdr:row>7</xdr:row>
      <xdr:rowOff>120650</xdr:rowOff>
    </xdr:from>
    <xdr:to>
      <xdr:col>5</xdr:col>
      <xdr:colOff>463550</xdr:colOff>
      <xdr:row>17</xdr:row>
      <xdr:rowOff>107950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0510158D-D6B7-44ED-A9B9-C09ED4FF1866}"/>
            </a:ext>
          </a:extLst>
        </xdr:cNvPr>
        <xdr:cNvSpPr/>
      </xdr:nvSpPr>
      <xdr:spPr>
        <a:xfrm>
          <a:off x="2603500" y="1187450"/>
          <a:ext cx="1670050" cy="1511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 baseline="0"/>
            <a:t>Análisis y elaboración de anexos de los principales rubros</a:t>
          </a:r>
        </a:p>
        <a:p>
          <a:pPr algn="l"/>
          <a:endParaRPr lang="es-PE" sz="1100"/>
        </a:p>
      </xdr:txBody>
    </xdr:sp>
    <xdr:clientData/>
  </xdr:twoCellAnchor>
  <xdr:twoCellAnchor>
    <xdr:from>
      <xdr:col>3</xdr:col>
      <xdr:colOff>469900</xdr:colOff>
      <xdr:row>2</xdr:row>
      <xdr:rowOff>133350</xdr:rowOff>
    </xdr:from>
    <xdr:to>
      <xdr:col>5</xdr:col>
      <xdr:colOff>260350</xdr:colOff>
      <xdr:row>6</xdr:row>
      <xdr:rowOff>63500</xdr:rowOff>
    </xdr:to>
    <xdr:sp macro="" textlink="">
      <xdr:nvSpPr>
        <xdr:cNvPr id="6" name="Flecha: hacia abajo 5">
          <a:extLst>
            <a:ext uri="{FF2B5EF4-FFF2-40B4-BE49-F238E27FC236}">
              <a16:creationId xmlns:a16="http://schemas.microsoft.com/office/drawing/2014/main" id="{D979B265-6117-4E72-8382-3947F0DD0782}"/>
            </a:ext>
          </a:extLst>
        </xdr:cNvPr>
        <xdr:cNvSpPr/>
      </xdr:nvSpPr>
      <xdr:spPr>
        <a:xfrm>
          <a:off x="2755900" y="438150"/>
          <a:ext cx="1314450" cy="539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Pas</a:t>
          </a:r>
          <a:r>
            <a:rPr lang="es-PE" sz="1100" baseline="0"/>
            <a:t>o 2</a:t>
          </a:r>
          <a:endParaRPr lang="es-PE" sz="1100"/>
        </a:p>
      </xdr:txBody>
    </xdr:sp>
    <xdr:clientData/>
  </xdr:twoCellAnchor>
  <xdr:twoCellAnchor>
    <xdr:from>
      <xdr:col>5</xdr:col>
      <xdr:colOff>641350</xdr:colOff>
      <xdr:row>8</xdr:row>
      <xdr:rowOff>12700</xdr:rowOff>
    </xdr:from>
    <xdr:to>
      <xdr:col>8</xdr:col>
      <xdr:colOff>25400</xdr:colOff>
      <xdr:row>18</xdr:row>
      <xdr:rowOff>0</xdr:rowOff>
    </xdr:to>
    <xdr:sp macro="" textlink="">
      <xdr:nvSpPr>
        <xdr:cNvPr id="7" name="Rectángulo: esquinas redondeadas 6">
          <a:extLst>
            <a:ext uri="{FF2B5EF4-FFF2-40B4-BE49-F238E27FC236}">
              <a16:creationId xmlns:a16="http://schemas.microsoft.com/office/drawing/2014/main" id="{65836926-0700-4EB2-943E-88DD55A33FEF}"/>
            </a:ext>
          </a:extLst>
        </xdr:cNvPr>
        <xdr:cNvSpPr/>
      </xdr:nvSpPr>
      <xdr:spPr>
        <a:xfrm>
          <a:off x="4451350" y="1231900"/>
          <a:ext cx="1670050" cy="1511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 baseline="0"/>
            <a:t>Ajustes y/o reclasificaciones</a:t>
          </a:r>
        </a:p>
        <a:p>
          <a:pPr algn="l"/>
          <a:endParaRPr lang="es-PE" sz="1100"/>
        </a:p>
      </xdr:txBody>
    </xdr:sp>
    <xdr:clientData/>
  </xdr:twoCellAnchor>
  <xdr:twoCellAnchor>
    <xdr:from>
      <xdr:col>6</xdr:col>
      <xdr:colOff>31750</xdr:colOff>
      <xdr:row>3</xdr:row>
      <xdr:rowOff>25400</xdr:rowOff>
    </xdr:from>
    <xdr:to>
      <xdr:col>7</xdr:col>
      <xdr:colOff>584200</xdr:colOff>
      <xdr:row>6</xdr:row>
      <xdr:rowOff>107950</xdr:rowOff>
    </xdr:to>
    <xdr:sp macro="" textlink="">
      <xdr:nvSpPr>
        <xdr:cNvPr id="8" name="Flecha: hacia abajo 7">
          <a:extLst>
            <a:ext uri="{FF2B5EF4-FFF2-40B4-BE49-F238E27FC236}">
              <a16:creationId xmlns:a16="http://schemas.microsoft.com/office/drawing/2014/main" id="{377C9687-0E3C-4F33-ACCD-CC5EFC12AA69}"/>
            </a:ext>
          </a:extLst>
        </xdr:cNvPr>
        <xdr:cNvSpPr/>
      </xdr:nvSpPr>
      <xdr:spPr>
        <a:xfrm>
          <a:off x="4603750" y="482600"/>
          <a:ext cx="1314450" cy="539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Pas</a:t>
          </a:r>
          <a:r>
            <a:rPr lang="es-PE" sz="1100" baseline="0"/>
            <a:t>o 3</a:t>
          </a:r>
          <a:endParaRPr lang="es-PE" sz="1100"/>
        </a:p>
      </xdr:txBody>
    </xdr:sp>
    <xdr:clientData/>
  </xdr:twoCellAnchor>
  <xdr:twoCellAnchor>
    <xdr:from>
      <xdr:col>8</xdr:col>
      <xdr:colOff>215900</xdr:colOff>
      <xdr:row>7</xdr:row>
      <xdr:rowOff>133350</xdr:rowOff>
    </xdr:from>
    <xdr:to>
      <xdr:col>10</xdr:col>
      <xdr:colOff>361950</xdr:colOff>
      <xdr:row>17</xdr:row>
      <xdr:rowOff>120650</xdr:rowOff>
    </xdr:to>
    <xdr:sp macro="" textlink="">
      <xdr:nvSpPr>
        <xdr:cNvPr id="9" name="Rectángulo: esquinas redondeadas 8">
          <a:extLst>
            <a:ext uri="{FF2B5EF4-FFF2-40B4-BE49-F238E27FC236}">
              <a16:creationId xmlns:a16="http://schemas.microsoft.com/office/drawing/2014/main" id="{1D52F788-4747-457C-B853-0BAB9DED634E}"/>
            </a:ext>
          </a:extLst>
        </xdr:cNvPr>
        <xdr:cNvSpPr/>
      </xdr:nvSpPr>
      <xdr:spPr>
        <a:xfrm>
          <a:off x="6311900" y="1200150"/>
          <a:ext cx="1670050" cy="1511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 baseline="0"/>
            <a:t>Djanual</a:t>
          </a:r>
        </a:p>
        <a:p>
          <a:pPr algn="l"/>
          <a:r>
            <a:rPr lang="es-PE" sz="1100" baseline="0"/>
            <a:t>Reconocer el asiento del impuesto a la renta e impuesto a la renta diferido</a:t>
          </a:r>
        </a:p>
        <a:p>
          <a:pPr algn="l"/>
          <a:endParaRPr lang="es-PE" sz="1100"/>
        </a:p>
      </xdr:txBody>
    </xdr:sp>
    <xdr:clientData/>
  </xdr:twoCellAnchor>
  <xdr:twoCellAnchor>
    <xdr:from>
      <xdr:col>8</xdr:col>
      <xdr:colOff>368300</xdr:colOff>
      <xdr:row>2</xdr:row>
      <xdr:rowOff>146050</xdr:rowOff>
    </xdr:from>
    <xdr:to>
      <xdr:col>10</xdr:col>
      <xdr:colOff>158750</xdr:colOff>
      <xdr:row>6</xdr:row>
      <xdr:rowOff>76200</xdr:rowOff>
    </xdr:to>
    <xdr:sp macro="" textlink="">
      <xdr:nvSpPr>
        <xdr:cNvPr id="10" name="Flecha: hacia abajo 9">
          <a:extLst>
            <a:ext uri="{FF2B5EF4-FFF2-40B4-BE49-F238E27FC236}">
              <a16:creationId xmlns:a16="http://schemas.microsoft.com/office/drawing/2014/main" id="{DC847A3A-74B3-4AFA-B949-26148103DBFF}"/>
            </a:ext>
          </a:extLst>
        </xdr:cNvPr>
        <xdr:cNvSpPr/>
      </xdr:nvSpPr>
      <xdr:spPr>
        <a:xfrm>
          <a:off x="6464300" y="450850"/>
          <a:ext cx="1314450" cy="539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Pas</a:t>
          </a:r>
          <a:r>
            <a:rPr lang="es-PE" sz="1100" baseline="0"/>
            <a:t>o 4</a:t>
          </a:r>
          <a:endParaRPr lang="es-PE" sz="1100"/>
        </a:p>
      </xdr:txBody>
    </xdr:sp>
    <xdr:clientData/>
  </xdr:twoCellAnchor>
  <xdr:twoCellAnchor>
    <xdr:from>
      <xdr:col>10</xdr:col>
      <xdr:colOff>571500</xdr:colOff>
      <xdr:row>7</xdr:row>
      <xdr:rowOff>114300</xdr:rowOff>
    </xdr:from>
    <xdr:to>
      <xdr:col>12</xdr:col>
      <xdr:colOff>717550</xdr:colOff>
      <xdr:row>17</xdr:row>
      <xdr:rowOff>101600</xdr:rowOff>
    </xdr:to>
    <xdr:sp macro="" textlink="">
      <xdr:nvSpPr>
        <xdr:cNvPr id="11" name="Rectángulo: esquinas redondeadas 10">
          <a:extLst>
            <a:ext uri="{FF2B5EF4-FFF2-40B4-BE49-F238E27FC236}">
              <a16:creationId xmlns:a16="http://schemas.microsoft.com/office/drawing/2014/main" id="{37C27E4A-6431-4452-89B9-2725C97450F5}"/>
            </a:ext>
          </a:extLst>
        </xdr:cNvPr>
        <xdr:cNvSpPr/>
      </xdr:nvSpPr>
      <xdr:spPr>
        <a:xfrm>
          <a:off x="8191500" y="1181100"/>
          <a:ext cx="1670050" cy="1511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 baseline="0"/>
            <a:t>EEFF</a:t>
          </a:r>
        </a:p>
        <a:p>
          <a:pPr algn="l"/>
          <a:r>
            <a:rPr lang="es-PE" sz="1100" baseline="0"/>
            <a:t>Asientos de cierre</a:t>
          </a:r>
        </a:p>
        <a:p>
          <a:pPr algn="l"/>
          <a:endParaRPr lang="es-PE" sz="1100"/>
        </a:p>
      </xdr:txBody>
    </xdr:sp>
    <xdr:clientData/>
  </xdr:twoCellAnchor>
  <xdr:twoCellAnchor>
    <xdr:from>
      <xdr:col>10</xdr:col>
      <xdr:colOff>723900</xdr:colOff>
      <xdr:row>2</xdr:row>
      <xdr:rowOff>127000</xdr:rowOff>
    </xdr:from>
    <xdr:to>
      <xdr:col>12</xdr:col>
      <xdr:colOff>514350</xdr:colOff>
      <xdr:row>6</xdr:row>
      <xdr:rowOff>57150</xdr:rowOff>
    </xdr:to>
    <xdr:sp macro="" textlink="">
      <xdr:nvSpPr>
        <xdr:cNvPr id="12" name="Flecha: hacia abajo 11">
          <a:extLst>
            <a:ext uri="{FF2B5EF4-FFF2-40B4-BE49-F238E27FC236}">
              <a16:creationId xmlns:a16="http://schemas.microsoft.com/office/drawing/2014/main" id="{B29D30A4-F403-44BE-BE2D-0B07BCB726ED}"/>
            </a:ext>
          </a:extLst>
        </xdr:cNvPr>
        <xdr:cNvSpPr/>
      </xdr:nvSpPr>
      <xdr:spPr>
        <a:xfrm>
          <a:off x="8343900" y="431800"/>
          <a:ext cx="1314450" cy="539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Pas</a:t>
          </a:r>
          <a:r>
            <a:rPr lang="es-PE" sz="1100" baseline="0"/>
            <a:t>o 5</a:t>
          </a:r>
          <a:endParaRPr lang="es-P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293449</xdr:colOff>
      <xdr:row>54</xdr:row>
      <xdr:rowOff>143835</xdr:rowOff>
    </xdr:from>
    <xdr:to>
      <xdr:col>18</xdr:col>
      <xdr:colOff>162819</xdr:colOff>
      <xdr:row>61</xdr:row>
      <xdr:rowOff>11474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B924DF8-EE73-4B56-BB74-5000BE61D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09949" y="8439244"/>
          <a:ext cx="5526643" cy="9182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5291</xdr:colOff>
      <xdr:row>11</xdr:row>
      <xdr:rowOff>0</xdr:rowOff>
    </xdr:from>
    <xdr:to>
      <xdr:col>12</xdr:col>
      <xdr:colOff>254000</xdr:colOff>
      <xdr:row>20</xdr:row>
      <xdr:rowOff>47625</xdr:rowOff>
    </xdr:to>
    <xdr:sp macro="" textlink="">
      <xdr:nvSpPr>
        <xdr:cNvPr id="3" name="Flecha: hacia arriba 2">
          <a:extLst>
            <a:ext uri="{FF2B5EF4-FFF2-40B4-BE49-F238E27FC236}">
              <a16:creationId xmlns:a16="http://schemas.microsoft.com/office/drawing/2014/main" id="{E1AF1AC1-C586-439B-964B-4DE31F8C35B3}"/>
            </a:ext>
          </a:extLst>
        </xdr:cNvPr>
        <xdr:cNvSpPr/>
      </xdr:nvSpPr>
      <xdr:spPr>
        <a:xfrm>
          <a:off x="6598708" y="1730373"/>
          <a:ext cx="1317625" cy="1561044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stock de mi</a:t>
          </a:r>
          <a:r>
            <a:rPr lang="es-PE" sz="1100" baseline="0"/>
            <a:t> almacen en cantidades</a:t>
          </a:r>
          <a:endParaRPr lang="es-PE" sz="1100"/>
        </a:p>
      </xdr:txBody>
    </xdr:sp>
    <xdr:clientData/>
  </xdr:twoCellAnchor>
  <xdr:twoCellAnchor>
    <xdr:from>
      <xdr:col>13</xdr:col>
      <xdr:colOff>324130</xdr:colOff>
      <xdr:row>3</xdr:row>
      <xdr:rowOff>146243</xdr:rowOff>
    </xdr:from>
    <xdr:to>
      <xdr:col>15</xdr:col>
      <xdr:colOff>710943</xdr:colOff>
      <xdr:row>24</xdr:row>
      <xdr:rowOff>45539</xdr:rowOff>
    </xdr:to>
    <xdr:sp macro="" textlink="">
      <xdr:nvSpPr>
        <xdr:cNvPr id="4" name="Flecha: hacia arriba 3">
          <a:extLst>
            <a:ext uri="{FF2B5EF4-FFF2-40B4-BE49-F238E27FC236}">
              <a16:creationId xmlns:a16="http://schemas.microsoft.com/office/drawing/2014/main" id="{5E80B038-C372-4347-BCF0-72B52EA73464}"/>
            </a:ext>
          </a:extLst>
        </xdr:cNvPr>
        <xdr:cNvSpPr/>
      </xdr:nvSpPr>
      <xdr:spPr>
        <a:xfrm rot="18472677">
          <a:off x="7690471" y="1304777"/>
          <a:ext cx="3132505" cy="1757354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Saldo de mis existencias</a:t>
          </a:r>
          <a:r>
            <a:rPr lang="es-PE" sz="1100" baseline="0"/>
            <a:t> al cierre del mes o cierre del año, este importe debe figurar en tu saldo de la cuenta de existencas</a:t>
          </a:r>
          <a:endParaRPr lang="es-PE" sz="1100"/>
        </a:p>
      </xdr:txBody>
    </xdr:sp>
    <xdr:clientData/>
  </xdr:twoCellAnchor>
  <xdr:twoCellAnchor>
    <xdr:from>
      <xdr:col>6</xdr:col>
      <xdr:colOff>288370</xdr:colOff>
      <xdr:row>11</xdr:row>
      <xdr:rowOff>611</xdr:rowOff>
    </xdr:from>
    <xdr:to>
      <xdr:col>10</xdr:col>
      <xdr:colOff>387437</xdr:colOff>
      <xdr:row>22</xdr:row>
      <xdr:rowOff>75707</xdr:rowOff>
    </xdr:to>
    <xdr:sp macro="" textlink="">
      <xdr:nvSpPr>
        <xdr:cNvPr id="5" name="Flecha: a la derecha 4">
          <a:extLst>
            <a:ext uri="{FF2B5EF4-FFF2-40B4-BE49-F238E27FC236}">
              <a16:creationId xmlns:a16="http://schemas.microsoft.com/office/drawing/2014/main" id="{95BE693B-0A0F-4A31-9D2B-DC75A8A11435}"/>
            </a:ext>
          </a:extLst>
        </xdr:cNvPr>
        <xdr:cNvSpPr/>
      </xdr:nvSpPr>
      <xdr:spPr>
        <a:xfrm rot="19018889">
          <a:off x="4447620" y="1699236"/>
          <a:ext cx="1935275" cy="177372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los</a:t>
          </a:r>
          <a:r>
            <a:rPr lang="es-PE" sz="1100" baseline="0"/>
            <a:t> 21k viene a ser el costo de venta, el cual se debe reflejar en mi ERI</a:t>
          </a:r>
          <a:endParaRPr lang="es-P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6</xdr:row>
      <xdr:rowOff>63500</xdr:rowOff>
    </xdr:from>
    <xdr:to>
      <xdr:col>2</xdr:col>
      <xdr:colOff>1917700</xdr:colOff>
      <xdr:row>6</xdr:row>
      <xdr:rowOff>133350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7BC249BF-464D-4B43-A2E4-77322FC19FB6}"/>
            </a:ext>
          </a:extLst>
        </xdr:cNvPr>
        <xdr:cNvSpPr/>
      </xdr:nvSpPr>
      <xdr:spPr>
        <a:xfrm>
          <a:off x="1714500" y="1168400"/>
          <a:ext cx="1727200" cy="69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6350</xdr:colOff>
      <xdr:row>6</xdr:row>
      <xdr:rowOff>69850</xdr:rowOff>
    </xdr:from>
    <xdr:to>
      <xdr:col>6</xdr:col>
      <xdr:colOff>209550</xdr:colOff>
      <xdr:row>6</xdr:row>
      <xdr:rowOff>139700</xdr:rowOff>
    </xdr:to>
    <xdr:sp macro="" textlink="">
      <xdr:nvSpPr>
        <xdr:cNvPr id="3" name="Flecha: a la derecha 2">
          <a:extLst>
            <a:ext uri="{FF2B5EF4-FFF2-40B4-BE49-F238E27FC236}">
              <a16:creationId xmlns:a16="http://schemas.microsoft.com/office/drawing/2014/main" id="{33AA964C-243E-434A-8F1C-DF1659E2B147}"/>
            </a:ext>
          </a:extLst>
        </xdr:cNvPr>
        <xdr:cNvSpPr/>
      </xdr:nvSpPr>
      <xdr:spPr>
        <a:xfrm>
          <a:off x="4286250" y="1174750"/>
          <a:ext cx="1727200" cy="69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2</xdr:col>
      <xdr:colOff>190500</xdr:colOff>
      <xdr:row>7</xdr:row>
      <xdr:rowOff>63500</xdr:rowOff>
    </xdr:from>
    <xdr:to>
      <xdr:col>2</xdr:col>
      <xdr:colOff>1917700</xdr:colOff>
      <xdr:row>7</xdr:row>
      <xdr:rowOff>133350</xdr:rowOff>
    </xdr:to>
    <xdr:sp macro="" textlink="">
      <xdr:nvSpPr>
        <xdr:cNvPr id="4" name="Flecha: a la derecha 3">
          <a:extLst>
            <a:ext uri="{FF2B5EF4-FFF2-40B4-BE49-F238E27FC236}">
              <a16:creationId xmlns:a16="http://schemas.microsoft.com/office/drawing/2014/main" id="{6484234C-F54A-451F-B06B-D0607BCECAAF}"/>
            </a:ext>
          </a:extLst>
        </xdr:cNvPr>
        <xdr:cNvSpPr/>
      </xdr:nvSpPr>
      <xdr:spPr>
        <a:xfrm>
          <a:off x="1714500" y="1168400"/>
          <a:ext cx="1727200" cy="69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6350</xdr:colOff>
      <xdr:row>7</xdr:row>
      <xdr:rowOff>57150</xdr:rowOff>
    </xdr:from>
    <xdr:to>
      <xdr:col>6</xdr:col>
      <xdr:colOff>209550</xdr:colOff>
      <xdr:row>7</xdr:row>
      <xdr:rowOff>127000</xdr:rowOff>
    </xdr:to>
    <xdr:sp macro="" textlink="">
      <xdr:nvSpPr>
        <xdr:cNvPr id="5" name="Flecha: a la derecha 4">
          <a:extLst>
            <a:ext uri="{FF2B5EF4-FFF2-40B4-BE49-F238E27FC236}">
              <a16:creationId xmlns:a16="http://schemas.microsoft.com/office/drawing/2014/main" id="{8766260D-1CF4-4E5E-BACA-2315AC33F026}"/>
            </a:ext>
          </a:extLst>
        </xdr:cNvPr>
        <xdr:cNvSpPr/>
      </xdr:nvSpPr>
      <xdr:spPr>
        <a:xfrm>
          <a:off x="4286250" y="1346200"/>
          <a:ext cx="1727200" cy="69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2</xdr:col>
      <xdr:colOff>190500</xdr:colOff>
      <xdr:row>8</xdr:row>
      <xdr:rowOff>63500</xdr:rowOff>
    </xdr:from>
    <xdr:to>
      <xdr:col>2</xdr:col>
      <xdr:colOff>1917700</xdr:colOff>
      <xdr:row>8</xdr:row>
      <xdr:rowOff>133350</xdr:rowOff>
    </xdr:to>
    <xdr:sp macro="" textlink="">
      <xdr:nvSpPr>
        <xdr:cNvPr id="6" name="Flecha: a la derecha 5">
          <a:extLst>
            <a:ext uri="{FF2B5EF4-FFF2-40B4-BE49-F238E27FC236}">
              <a16:creationId xmlns:a16="http://schemas.microsoft.com/office/drawing/2014/main" id="{C14B8E9F-9A13-48BC-9E12-5FEDF3935254}"/>
            </a:ext>
          </a:extLst>
        </xdr:cNvPr>
        <xdr:cNvSpPr/>
      </xdr:nvSpPr>
      <xdr:spPr>
        <a:xfrm>
          <a:off x="1714500" y="1352550"/>
          <a:ext cx="1727200" cy="69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6350</xdr:colOff>
      <xdr:row>8</xdr:row>
      <xdr:rowOff>69850</xdr:rowOff>
    </xdr:from>
    <xdr:to>
      <xdr:col>6</xdr:col>
      <xdr:colOff>209550</xdr:colOff>
      <xdr:row>8</xdr:row>
      <xdr:rowOff>139700</xdr:rowOff>
    </xdr:to>
    <xdr:sp macro="" textlink="">
      <xdr:nvSpPr>
        <xdr:cNvPr id="7" name="Flecha: a la derecha 6">
          <a:extLst>
            <a:ext uri="{FF2B5EF4-FFF2-40B4-BE49-F238E27FC236}">
              <a16:creationId xmlns:a16="http://schemas.microsoft.com/office/drawing/2014/main" id="{793ED5D5-01EB-4AA1-AE0A-2756A38520D5}"/>
            </a:ext>
          </a:extLst>
        </xdr:cNvPr>
        <xdr:cNvSpPr/>
      </xdr:nvSpPr>
      <xdr:spPr>
        <a:xfrm>
          <a:off x="4286250" y="1543050"/>
          <a:ext cx="1727200" cy="69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OL/pool/2013/OFFICE%20COPY%202013%20-%20PARA%20IMPRIMIR%20TAPA%20VER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5">
          <cell r="J5" t="str">
            <v>N/A</v>
          </cell>
          <cell r="R5" t="str">
            <v>N/A</v>
          </cell>
          <cell r="S5" t="str">
            <v>N/A</v>
          </cell>
        </row>
        <row r="6">
          <cell r="J6">
            <v>1</v>
          </cell>
          <cell r="K6" t="str">
            <v>Agribusiness</v>
          </cell>
          <cell r="N6" t="str">
            <v>N/A</v>
          </cell>
          <cell r="Q6" t="str">
            <v>N/A</v>
          </cell>
          <cell r="R6">
            <v>2</v>
          </cell>
          <cell r="S6" t="str">
            <v>Empresa en marcha</v>
          </cell>
        </row>
        <row r="7">
          <cell r="J7">
            <v>2</v>
          </cell>
          <cell r="K7" t="str">
            <v>Retail / Consumo masivo</v>
          </cell>
          <cell r="N7" t="str">
            <v>SMV (CONASEV)</v>
          </cell>
          <cell r="Q7" t="str">
            <v>Local</v>
          </cell>
          <cell r="R7">
            <v>7</v>
          </cell>
          <cell r="S7" t="str">
            <v>Cuentas por cobrar</v>
          </cell>
        </row>
        <row r="8">
          <cell r="J8">
            <v>3</v>
          </cell>
          <cell r="K8" t="str">
            <v>Petróleo y gas</v>
          </cell>
          <cell r="N8" t="str">
            <v>SBS</v>
          </cell>
          <cell r="Q8" t="str">
            <v>IFRS</v>
          </cell>
          <cell r="R8">
            <v>8</v>
          </cell>
          <cell r="S8" t="str">
            <v>Activo fijo</v>
          </cell>
        </row>
        <row r="9">
          <cell r="J9">
            <v>4</v>
          </cell>
          <cell r="K9" t="str">
            <v>Electricidad</v>
          </cell>
          <cell r="N9" t="str">
            <v>SUNASA (regula EPS)</v>
          </cell>
          <cell r="Q9" t="str">
            <v>USGAAP</v>
          </cell>
          <cell r="R9">
            <v>11</v>
          </cell>
          <cell r="S9" t="str">
            <v>Existencias</v>
          </cell>
        </row>
        <row r="10">
          <cell r="J10">
            <v>5</v>
          </cell>
          <cell r="K10" t="str">
            <v>Minería</v>
          </cell>
          <cell r="N10" t="str">
            <v>OSITRAN</v>
          </cell>
          <cell r="Q10" t="str">
            <v>Otros</v>
          </cell>
          <cell r="R10">
            <v>12</v>
          </cell>
          <cell r="S10" t="str">
            <v>Ingresos</v>
          </cell>
        </row>
        <row r="11">
          <cell r="J11">
            <v>6</v>
          </cell>
          <cell r="K11" t="str">
            <v>FSIP</v>
          </cell>
          <cell r="N11" t="str">
            <v>PERUPETRO</v>
          </cell>
          <cell r="R11">
            <v>16</v>
          </cell>
          <cell r="S11" t="str">
            <v>Impuesto a la renta diferido</v>
          </cell>
        </row>
        <row r="12">
          <cell r="J12">
            <v>7</v>
          </cell>
          <cell r="K12" t="str">
            <v>Construcción</v>
          </cell>
          <cell r="N12" t="str">
            <v>OSINERGMIN</v>
          </cell>
          <cell r="R12">
            <v>17</v>
          </cell>
          <cell r="S12" t="str">
            <v>Revelaciones</v>
          </cell>
        </row>
        <row r="13">
          <cell r="J13">
            <v>8</v>
          </cell>
          <cell r="K13" t="str">
            <v>Educación</v>
          </cell>
          <cell r="N13" t="str">
            <v>Financiadores</v>
          </cell>
          <cell r="R13">
            <v>18</v>
          </cell>
          <cell r="S13" t="str">
            <v xml:space="preserve">Instrumentos financieros derivados
</v>
          </cell>
        </row>
        <row r="14">
          <cell r="J14">
            <v>9</v>
          </cell>
          <cell r="K14" t="str">
            <v>Inmobliaria</v>
          </cell>
          <cell r="N14" t="str">
            <v>Otros</v>
          </cell>
          <cell r="R14">
            <v>19</v>
          </cell>
          <cell r="S14" t="str">
            <v>Otros</v>
          </cell>
        </row>
        <row r="15">
          <cell r="J15">
            <v>10</v>
          </cell>
          <cell r="K15" t="str">
            <v>Salud</v>
          </cell>
          <cell r="R15">
            <v>21</v>
          </cell>
        </row>
        <row r="16">
          <cell r="J16">
            <v>11</v>
          </cell>
          <cell r="K16" t="str">
            <v>Servicios</v>
          </cell>
          <cell r="O16" t="str">
            <v>N/A</v>
          </cell>
          <cell r="R16">
            <v>23</v>
          </cell>
        </row>
        <row r="17">
          <cell r="J17">
            <v>12</v>
          </cell>
          <cell r="K17" t="str">
            <v>Otros</v>
          </cell>
          <cell r="O17" t="str">
            <v>Separado / individual</v>
          </cell>
          <cell r="R17">
            <v>24</v>
          </cell>
        </row>
        <row r="18">
          <cell r="J18">
            <v>13</v>
          </cell>
          <cell r="K18" t="str">
            <v>N/A</v>
          </cell>
          <cell r="O18" t="str">
            <v>Consolidado</v>
          </cell>
          <cell r="R18">
            <v>27</v>
          </cell>
        </row>
        <row r="19">
          <cell r="J19">
            <v>14</v>
          </cell>
          <cell r="K19" t="str">
            <v>Auditoría Anual</v>
          </cell>
          <cell r="O19" t="str">
            <v>Combinado</v>
          </cell>
          <cell r="R19">
            <v>28</v>
          </cell>
        </row>
        <row r="20">
          <cell r="J20">
            <v>15</v>
          </cell>
          <cell r="K20" t="str">
            <v>Auditoría periodos intermedios</v>
          </cell>
          <cell r="O20" t="str">
            <v>Para propósitos especiales</v>
          </cell>
          <cell r="R20">
            <v>31</v>
          </cell>
        </row>
        <row r="21">
          <cell r="J21">
            <v>16</v>
          </cell>
          <cell r="K21" t="str">
            <v>Revisión limitada</v>
          </cell>
          <cell r="R21">
            <v>32</v>
          </cell>
        </row>
        <row r="22">
          <cell r="K22" t="str">
            <v>Procedimientos previamente convenido</v>
          </cell>
          <cell r="O22" t="str">
            <v>N/A</v>
          </cell>
          <cell r="R22">
            <v>33</v>
          </cell>
        </row>
        <row r="23">
          <cell r="K23" t="str">
            <v>Carta de control interno</v>
          </cell>
          <cell r="O23" t="str">
            <v>Sin salvedades</v>
          </cell>
          <cell r="R23">
            <v>34</v>
          </cell>
        </row>
        <row r="24">
          <cell r="K24" t="str">
            <v>Certificación</v>
          </cell>
          <cell r="O24" t="str">
            <v>Sin salvedades con párrafo de énfasis</v>
          </cell>
          <cell r="R24">
            <v>36</v>
          </cell>
        </row>
        <row r="25">
          <cell r="K25" t="str">
            <v>Asistencia técnica</v>
          </cell>
          <cell r="O25" t="str">
            <v>Calificado</v>
          </cell>
          <cell r="R25">
            <v>37</v>
          </cell>
        </row>
        <row r="26">
          <cell r="K26" t="str">
            <v>Free translation</v>
          </cell>
          <cell r="O26" t="str">
            <v>Opinión adversa</v>
          </cell>
          <cell r="R26">
            <v>38</v>
          </cell>
        </row>
        <row r="27">
          <cell r="K27" t="str">
            <v>Informe presupuestal</v>
          </cell>
          <cell r="O27" t="str">
            <v>Abstención de opinión</v>
          </cell>
          <cell r="R27">
            <v>39</v>
          </cell>
        </row>
        <row r="28">
          <cell r="K28" t="str">
            <v>Informe largo</v>
          </cell>
          <cell r="O28" t="str">
            <v>Levantamiento de calificación</v>
          </cell>
          <cell r="R28">
            <v>40</v>
          </cell>
        </row>
        <row r="29">
          <cell r="K29" t="str">
            <v>Lavado de activos</v>
          </cell>
          <cell r="R29">
            <v>41</v>
          </cell>
        </row>
        <row r="30">
          <cell r="K30" t="str">
            <v>Covenants</v>
          </cell>
        </row>
        <row r="31">
          <cell r="K31" t="str">
            <v>Otros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CARATULA"/>
      <sheetName val="INDICE"/>
      <sheetName val="5"/>
      <sheetName val="6.1"/>
      <sheetName val="Hoja19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  <sheetName val="Datos"/>
      <sheetName val="INICIO"/>
      <sheetName val="Personal en Contrata"/>
      <sheetName val="Matriz"/>
      <sheetName val="US$98"/>
      <sheetName val="PPTTvelasco"/>
      <sheetName val="Total June Revenue Accrual"/>
      <sheetName val="6_1"/>
      <sheetName val="6_2"/>
      <sheetName val="7_1"/>
      <sheetName val="7_2"/>
      <sheetName val="7_3"/>
      <sheetName val="9_1"/>
      <sheetName val="9_2"/>
      <sheetName val="10_1"/>
      <sheetName val="10_2"/>
      <sheetName val="10_3"/>
      <sheetName val="13_1"/>
      <sheetName val="13_2"/>
      <sheetName val="13_3"/>
      <sheetName val="13_4"/>
      <sheetName val="Precios 31.12.06"/>
      <sheetName val="TC 2007"/>
      <sheetName val="Configurações Gerais"/>
      <sheetName val="Contractor Rates"/>
      <sheetName val="21310110"/>
      <sheetName val="C-P"/>
      <sheetName val="PAGE 1"/>
      <sheetName val="Parametros"/>
      <sheetName val="APPENDIX 2 EXHIBIT A"/>
      <sheetName val="GENERAL"/>
      <sheetName val="VALORIZACION"/>
      <sheetName val="PLANI"/>
      <sheetName val="Resumen"/>
      <sheetName val="TC Diario Sunat"/>
      <sheetName val="Resumen Reintregro Fiscal "/>
      <sheetName val="valmer333"/>
      <sheetName val="INV.INICIAL"/>
      <sheetName val="BASE P.C.G.E."/>
      <sheetName val="Tablas"/>
      <sheetName val="PCGE"/>
      <sheetName val="BALANCE GENERAL"/>
      <sheetName val="Diario"/>
      <sheetName val="CONSO 2"/>
      <sheetName val="_x0006__x0007__x000e__x0011__x0014_"/>
      <sheetName val="ACLSHL96"/>
      <sheetName val="0408"/>
      <sheetName val="Precios_31_12_06"/>
      <sheetName val="ANEXO-2"/>
      <sheetName val="IM551JAN-01"/>
      <sheetName val="IVABYLINE"/>
      <sheetName val="TC"/>
      <sheetName val="budget"/>
      <sheetName val="EGYP.Contab (2)"/>
      <sheetName val="C-2"/>
      <sheetName val="20"/>
      <sheetName val="Compras (2)"/>
      <sheetName val="Compras"/>
      <sheetName val="VENTAS"/>
      <sheetName val="IMPUESTOS"/>
      <sheetName val="Mayor Analitico"/>
      <sheetName val="Anexos"/>
      <sheetName val="Caja Detalle "/>
      <sheetName val="DiarioSimplif"/>
      <sheetName val="Plan"/>
      <sheetName val="Mayor"/>
      <sheetName val="Hoja de Trabajo"/>
      <sheetName val="Depreciación"/>
      <sheetName val="Semanal"/>
      <sheetName val="TC_2007"/>
      <sheetName val="PAGE_1"/>
      <sheetName val="Personal_en_Contrata"/>
      <sheetName val="6_11"/>
      <sheetName val="6_21"/>
      <sheetName val="7_11"/>
      <sheetName val="7_21"/>
      <sheetName val="7_31"/>
      <sheetName val="9_11"/>
      <sheetName val="9_21"/>
      <sheetName val="10_11"/>
      <sheetName val="10_21"/>
      <sheetName val="10_31"/>
      <sheetName val="13_11"/>
      <sheetName val="13_21"/>
      <sheetName val="13_31"/>
      <sheetName val="13_41"/>
      <sheetName val="TC_20071"/>
      <sheetName val="PAGE_11"/>
      <sheetName val="Personal_en_Contrata1"/>
      <sheetName val="Precios_31_12_061"/>
      <sheetName val="6_12"/>
      <sheetName val="6_22"/>
      <sheetName val="7_12"/>
      <sheetName val="7_22"/>
      <sheetName val="7_32"/>
      <sheetName val="9_12"/>
      <sheetName val="9_22"/>
      <sheetName val="10_12"/>
      <sheetName val="10_22"/>
      <sheetName val="10_32"/>
      <sheetName val="13_12"/>
      <sheetName val="13_22"/>
      <sheetName val="13_32"/>
      <sheetName val="13_42"/>
      <sheetName val="TC_20072"/>
      <sheetName val="PAGE_12"/>
      <sheetName val="Personal_en_Contrata2"/>
      <sheetName val="Precios_31_12_062"/>
      <sheetName val="6_13"/>
      <sheetName val="6_23"/>
      <sheetName val="7_13"/>
      <sheetName val="7_23"/>
      <sheetName val="7_33"/>
      <sheetName val="9_13"/>
      <sheetName val="9_23"/>
      <sheetName val="10_13"/>
      <sheetName val="10_23"/>
      <sheetName val="10_33"/>
      <sheetName val="13_13"/>
      <sheetName val="13_23"/>
      <sheetName val="13_33"/>
      <sheetName val="13_43"/>
      <sheetName val="TC_20073"/>
      <sheetName val="PAGE_13"/>
      <sheetName val="Personal_en_Contrata3"/>
      <sheetName val="Precios_31_12_063"/>
      <sheetName val="DIARIO 1"/>
      <sheetName val="Diario General Cierre"/>
      <sheetName val="EGPN"/>
      <sheetName val="T"/>
      <sheetName val="6_14"/>
      <sheetName val="6_24"/>
      <sheetName val="7_14"/>
      <sheetName val="7_24"/>
      <sheetName val="7_34"/>
      <sheetName val="9_14"/>
      <sheetName val="9_24"/>
      <sheetName val="10_14"/>
      <sheetName val="10_24"/>
      <sheetName val="10_34"/>
      <sheetName val="13_14"/>
      <sheetName val="13_24"/>
      <sheetName val="13_34"/>
      <sheetName val="13_44"/>
      <sheetName val="6_15"/>
      <sheetName val="6_25"/>
      <sheetName val="7_15"/>
      <sheetName val="7_25"/>
      <sheetName val="7_35"/>
      <sheetName val="9_15"/>
      <sheetName val="9_25"/>
      <sheetName val="10_15"/>
      <sheetName val="10_25"/>
      <sheetName val="10_35"/>
      <sheetName val="13_15"/>
      <sheetName val="13_25"/>
      <sheetName val="13_35"/>
      <sheetName val="13_45"/>
      <sheetName val="6_16"/>
      <sheetName val="6_26"/>
      <sheetName val="7_16"/>
      <sheetName val="7_26"/>
      <sheetName val="7_36"/>
      <sheetName val="9_16"/>
      <sheetName val="9_26"/>
      <sheetName val="10_16"/>
      <sheetName val="10_26"/>
      <sheetName val="10_36"/>
      <sheetName val="13_16"/>
      <sheetName val="13_26"/>
      <sheetName val="13_36"/>
      <sheetName val="13_46"/>
      <sheetName val="6_17"/>
      <sheetName val="6_27"/>
      <sheetName val="7_17"/>
      <sheetName val="7_27"/>
      <sheetName val="7_37"/>
      <sheetName val="9_17"/>
      <sheetName val="9_27"/>
      <sheetName val="10_17"/>
      <sheetName val="10_27"/>
      <sheetName val="10_37"/>
      <sheetName val="13_17"/>
      <sheetName val="13_27"/>
      <sheetName val="13_37"/>
      <sheetName val="13_47"/>
      <sheetName val="IPC"/>
      <sheetName val="T.CAMBIO"/>
      <sheetName val="Lista"/>
      <sheetName val="TC_20074"/>
      <sheetName val="PAGE_14"/>
      <sheetName val="Personal_en_Contrata4"/>
      <sheetName val="Precios_31_12_064"/>
      <sheetName val="Rubros"/>
      <sheetName val="Tabla"/>
      <sheetName val="Total_June_Revenue_Accrual"/>
      <sheetName val="Configurações_Gerais"/>
      <sheetName val="Contractor_Rates"/>
      <sheetName val="Caratula1"/>
      <sheetName val="TRS_Planning"/>
      <sheetName val="PLANILLA"/>
      <sheetName val="1021"/>
      <sheetName val="Objects"/>
      <sheetName val="NOV"/>
      <sheetName val="OCTU"/>
      <sheetName val="RNOV"/>
      <sheetName val="Fuente"/>
      <sheetName val="EFE"/>
      <sheetName val="43142230"/>
      <sheetName val="AEREO REAL2006"/>
      <sheetName val="MENU"/>
      <sheetName val="TABLA_2"/>
      <sheetName val="TABLA_10"/>
      <sheetName val="TABLA_4"/>
      <sheetName val="TABLA_3"/>
      <sheetName val="Dif cambio anexo 3"/>
      <sheetName val="Dif cambio anexo 1"/>
      <sheetName val="Dif cambio anexo 2"/>
      <sheetName val="Input"/>
      <sheetName val="INV_INICIAL"/>
      <sheetName val="BASE_P_C_G_E_"/>
      <sheetName val="BALANCE_GENERAL"/>
      <sheetName val="CONSO_2"/>
      <sheetName val="DIARIO_1"/>
      <sheetName val="Diario_General_Cierre"/>
      <sheetName val="INV_INICIAL1"/>
      <sheetName val="BASE_P_C_G_E_1"/>
      <sheetName val="BALANCE_GENERAL1"/>
      <sheetName val="CONSO_21"/>
      <sheetName val="DIARIO_11"/>
      <sheetName val="Diario_General_Cierre1"/>
      <sheetName val="DATASUNAT"/>
      <sheetName val="PRORRATEOS Y CASSINELLI"/>
      <sheetName val="_x005f_x0006__x005f_x0007__x005f_x000e__x005f_x0011__x0"/>
      <sheetName val="CoA"/>
      <sheetName val="APPENDIX_2_EXHIBIT_A"/>
      <sheetName val="TC_Diario_Sunat"/>
      <sheetName val=""/>
      <sheetName val="Resumen_Reintregro_Fiscal_"/>
      <sheetName val="T_CAMBIO"/>
      <sheetName val="CLIENTES-PROV"/>
      <sheetName val="Base SEM (Mant. distr.)"/>
      <sheetName val="RESVACT"/>
      <sheetName val="VARIABLES"/>
      <sheetName val="Hoja2"/>
      <sheetName val="TIPFIN10"/>
      <sheetName val="ExistDec98"/>
      <sheetName val="3.INPUT ACT"/>
      <sheetName val="RENTABILIDAD"/>
      <sheetName val="Análisis Vertical y Horizontal"/>
      <sheetName val="ROTACIÓN"/>
      <sheetName val="Movimiento"/>
      <sheetName val="XREF"/>
      <sheetName val="EGYP_Contab_(2)"/>
      <sheetName val="6_18"/>
      <sheetName val="6_28"/>
      <sheetName val="7_18"/>
      <sheetName val="7_28"/>
      <sheetName val="7_38"/>
      <sheetName val="9_18"/>
      <sheetName val="9_28"/>
      <sheetName val="10_18"/>
      <sheetName val="10_28"/>
      <sheetName val="10_38"/>
      <sheetName val="13_18"/>
      <sheetName val="13_28"/>
      <sheetName val="13_38"/>
      <sheetName val="13_48"/>
      <sheetName val="6_19"/>
      <sheetName val="6_29"/>
      <sheetName val="7_19"/>
      <sheetName val="7_29"/>
      <sheetName val="7_39"/>
      <sheetName val="9_19"/>
      <sheetName val="9_29"/>
      <sheetName val="10_19"/>
      <sheetName val="10_29"/>
      <sheetName val="10_39"/>
      <sheetName val="13_19"/>
      <sheetName val="13_29"/>
      <sheetName val="13_39"/>
      <sheetName val="13_49"/>
      <sheetName val="Total_June_Revenue_Accrual1"/>
      <sheetName val="Personal_en_Contrata5"/>
      <sheetName val="Precios_31_12_065"/>
      <sheetName val="Configurações_Gerais1"/>
      <sheetName val="TC_20075"/>
      <sheetName val="PAGE_15"/>
      <sheetName val="Contractor_Rates1"/>
      <sheetName val="APPENDIX_2_EXHIBIT_A1"/>
      <sheetName val="TC_Diario_Sunat1"/>
      <sheetName val="EGYP_Contab_(2)1"/>
      <sheetName val="6_110"/>
      <sheetName val="6_210"/>
      <sheetName val="7_110"/>
      <sheetName val="7_210"/>
      <sheetName val="7_310"/>
      <sheetName val="9_110"/>
      <sheetName val="9_210"/>
      <sheetName val="10_110"/>
      <sheetName val="10_210"/>
      <sheetName val="10_310"/>
      <sheetName val="13_110"/>
      <sheetName val="13_210"/>
      <sheetName val="13_310"/>
      <sheetName val="13_410"/>
      <sheetName val="Total_June_Revenue_Accrual2"/>
      <sheetName val="Personal_en_Contrata6"/>
      <sheetName val="Precios_31_12_066"/>
      <sheetName val="Configurações_Gerais2"/>
      <sheetName val="TC_20076"/>
      <sheetName val="PAGE_16"/>
      <sheetName val="Contractor_Rates2"/>
      <sheetName val="APPENDIX_2_EXHIBIT_A2"/>
      <sheetName val="TC_Diario_Sunat2"/>
      <sheetName val="INV_INICIAL2"/>
      <sheetName val="BASE_P_C_G_E_2"/>
      <sheetName val="BALANCE_GENERAL2"/>
      <sheetName val="CONSO_22"/>
      <sheetName val="EGYP_Contab_(2)2"/>
      <sheetName val="6_111"/>
      <sheetName val="6_211"/>
      <sheetName val="7_111"/>
      <sheetName val="7_211"/>
      <sheetName val="7_311"/>
      <sheetName val="9_111"/>
      <sheetName val="9_211"/>
      <sheetName val="10_111"/>
      <sheetName val="10_211"/>
      <sheetName val="10_311"/>
      <sheetName val="13_111"/>
      <sheetName val="13_211"/>
      <sheetName val="13_311"/>
      <sheetName val="13_411"/>
      <sheetName val="Total_June_Revenue_Accrual3"/>
      <sheetName val="Personal_en_Contrata7"/>
      <sheetName val="Precios_31_12_067"/>
      <sheetName val="Configurações_Gerais3"/>
      <sheetName val="TC_20077"/>
      <sheetName val="PAGE_17"/>
      <sheetName val="Contractor_Rates3"/>
      <sheetName val="APPENDIX_2_EXHIBIT_A3"/>
      <sheetName val="TC_Diario_Sunat3"/>
      <sheetName val="INV_INICIAL3"/>
      <sheetName val="BASE_P_C_G_E_3"/>
      <sheetName val="BALANCE_GENERAL3"/>
      <sheetName val="CONSO_23"/>
      <sheetName val="EGYP_Contab_(2)3"/>
      <sheetName val="Compras_(2)"/>
      <sheetName val="Mayor_Analitico"/>
      <sheetName val="Caja_Detalle_"/>
      <sheetName val="Hoja_de_Trabajo"/>
      <sheetName val="PR-7 ACTUAL"/>
      <sheetName val="Sucursal"/>
      <sheetName val="cusco"/>
      <sheetName val="COD_EMP"/>
      <sheetName val="Hoja3"/>
      <sheetName val="TABLA_34"/>
      <sheetName val="TABLA_22"/>
      <sheetName val="IAEGyP4"/>
      <sheetName val="AEGyP"/>
      <sheetName val="Staffing"/>
      <sheetName val="LISTA DE CLIENTES"/>
      <sheetName val="Resúmen"/>
      <sheetName val="Base"/>
      <sheetName val="CÓDIGOS"/>
      <sheetName val="Navigation"/>
      <sheetName val="6_112"/>
      <sheetName val="6_212"/>
      <sheetName val="7_112"/>
      <sheetName val="7_212"/>
      <sheetName val="7_312"/>
      <sheetName val="9_112"/>
      <sheetName val="9_212"/>
      <sheetName val="10_112"/>
      <sheetName val="10_212"/>
      <sheetName val="10_312"/>
      <sheetName val="13_112"/>
      <sheetName val="13_212"/>
      <sheetName val="13_312"/>
      <sheetName val="13_412"/>
      <sheetName val="6_113"/>
      <sheetName val="6_213"/>
      <sheetName val="7_113"/>
      <sheetName val="7_213"/>
      <sheetName val="7_313"/>
      <sheetName val="9_113"/>
      <sheetName val="9_213"/>
      <sheetName val="10_113"/>
      <sheetName val="10_213"/>
      <sheetName val="10_313"/>
      <sheetName val="13_113"/>
      <sheetName val="13_213"/>
      <sheetName val="13_313"/>
      <sheetName val="13_413"/>
      <sheetName val="6_114"/>
      <sheetName val="6_214"/>
      <sheetName val="7_114"/>
      <sheetName val="7_214"/>
      <sheetName val="7_314"/>
      <sheetName val="9_114"/>
      <sheetName val="9_214"/>
      <sheetName val="10_114"/>
      <sheetName val="10_214"/>
      <sheetName val="10_314"/>
      <sheetName val="13_114"/>
      <sheetName val="13_214"/>
      <sheetName val="13_314"/>
      <sheetName val="13_414"/>
      <sheetName val="6_115"/>
      <sheetName val="6_215"/>
      <sheetName val="7_115"/>
      <sheetName val="7_215"/>
      <sheetName val="7_315"/>
      <sheetName val="9_115"/>
      <sheetName val="9_215"/>
      <sheetName val="10_115"/>
      <sheetName val="10_215"/>
      <sheetName val="10_315"/>
      <sheetName val="13_115"/>
      <sheetName val="13_215"/>
      <sheetName val="13_315"/>
      <sheetName val="13_415"/>
      <sheetName val="6_116"/>
      <sheetName val="6_216"/>
      <sheetName val="7_116"/>
      <sheetName val="7_216"/>
      <sheetName val="7_316"/>
      <sheetName val="9_116"/>
      <sheetName val="9_216"/>
      <sheetName val="10_116"/>
      <sheetName val="10_216"/>
      <sheetName val="10_316"/>
      <sheetName val="13_116"/>
      <sheetName val="13_216"/>
      <sheetName val="13_316"/>
      <sheetName val="13_416"/>
      <sheetName val="6_117"/>
      <sheetName val="6_217"/>
      <sheetName val="7_117"/>
      <sheetName val="7_217"/>
      <sheetName val="7_317"/>
      <sheetName val="9_117"/>
      <sheetName val="9_217"/>
      <sheetName val="10_117"/>
      <sheetName val="10_217"/>
      <sheetName val="10_317"/>
      <sheetName val="13_117"/>
      <sheetName val="13_217"/>
      <sheetName val="13_317"/>
      <sheetName val="13_417"/>
      <sheetName val="6_118"/>
      <sheetName val="6_218"/>
      <sheetName val="7_118"/>
      <sheetName val="7_218"/>
      <sheetName val="7_318"/>
      <sheetName val="9_118"/>
      <sheetName val="9_218"/>
      <sheetName val="10_118"/>
      <sheetName val="10_218"/>
      <sheetName val="10_318"/>
      <sheetName val="13_118"/>
      <sheetName val="13_218"/>
      <sheetName val="13_318"/>
      <sheetName val="13_418"/>
      <sheetName val="6_119"/>
      <sheetName val="6_219"/>
      <sheetName val="7_119"/>
      <sheetName val="7_219"/>
      <sheetName val="7_319"/>
      <sheetName val="9_119"/>
      <sheetName val="9_219"/>
      <sheetName val="10_119"/>
      <sheetName val="10_219"/>
      <sheetName val="10_319"/>
      <sheetName val="13_119"/>
      <sheetName val="13_219"/>
      <sheetName val="13_319"/>
      <sheetName val="13_419"/>
      <sheetName val="6_120"/>
      <sheetName val="6_220"/>
      <sheetName val="7_120"/>
      <sheetName val="7_220"/>
      <sheetName val="7_320"/>
      <sheetName val="9_120"/>
      <sheetName val="9_220"/>
      <sheetName val="10_120"/>
      <sheetName val="10_220"/>
      <sheetName val="10_320"/>
      <sheetName val="13_120"/>
      <sheetName val="13_220"/>
      <sheetName val="13_320"/>
      <sheetName val="13_420"/>
      <sheetName val="6_121"/>
      <sheetName val="6_221"/>
      <sheetName val="7_121"/>
      <sheetName val="7_221"/>
      <sheetName val="7_321"/>
      <sheetName val="9_121"/>
      <sheetName val="9_221"/>
      <sheetName val="10_121"/>
      <sheetName val="10_221"/>
      <sheetName val="10_321"/>
      <sheetName val="13_121"/>
      <sheetName val="13_221"/>
      <sheetName val="13_321"/>
      <sheetName val="13_421"/>
      <sheetName val="6_122"/>
      <sheetName val="6_222"/>
      <sheetName val="7_122"/>
      <sheetName val="7_222"/>
      <sheetName val="7_322"/>
      <sheetName val="9_122"/>
      <sheetName val="9_222"/>
      <sheetName val="10_122"/>
      <sheetName val="10_222"/>
      <sheetName val="10_322"/>
      <sheetName val="13_122"/>
      <sheetName val="13_222"/>
      <sheetName val="13_322"/>
      <sheetName val="13_422"/>
      <sheetName val="6_128"/>
      <sheetName val="6_228"/>
      <sheetName val="7_128"/>
      <sheetName val="7_228"/>
      <sheetName val="7_328"/>
      <sheetName val="9_128"/>
      <sheetName val="9_228"/>
      <sheetName val="10_128"/>
      <sheetName val="10_228"/>
      <sheetName val="10_328"/>
      <sheetName val="13_128"/>
      <sheetName val="13_228"/>
      <sheetName val="13_328"/>
      <sheetName val="13_428"/>
      <sheetName val="6_127"/>
      <sheetName val="6_227"/>
      <sheetName val="7_127"/>
      <sheetName val="7_227"/>
      <sheetName val="7_327"/>
      <sheetName val="9_127"/>
      <sheetName val="9_227"/>
      <sheetName val="10_127"/>
      <sheetName val="10_227"/>
      <sheetName val="10_327"/>
      <sheetName val="13_127"/>
      <sheetName val="13_227"/>
      <sheetName val="13_327"/>
      <sheetName val="13_427"/>
      <sheetName val="6_125"/>
      <sheetName val="6_225"/>
      <sheetName val="7_125"/>
      <sheetName val="7_225"/>
      <sheetName val="7_325"/>
      <sheetName val="9_125"/>
      <sheetName val="9_225"/>
      <sheetName val="10_125"/>
      <sheetName val="10_225"/>
      <sheetName val="10_325"/>
      <sheetName val="13_125"/>
      <sheetName val="13_225"/>
      <sheetName val="13_325"/>
      <sheetName val="13_425"/>
      <sheetName val="6_123"/>
      <sheetName val="6_223"/>
      <sheetName val="7_123"/>
      <sheetName val="7_223"/>
      <sheetName val="7_323"/>
      <sheetName val="9_123"/>
      <sheetName val="9_223"/>
      <sheetName val="10_123"/>
      <sheetName val="10_223"/>
      <sheetName val="10_323"/>
      <sheetName val="13_123"/>
      <sheetName val="13_223"/>
      <sheetName val="13_323"/>
      <sheetName val="13_423"/>
      <sheetName val="6_124"/>
      <sheetName val="6_224"/>
      <sheetName val="7_124"/>
      <sheetName val="7_224"/>
      <sheetName val="7_324"/>
      <sheetName val="9_124"/>
      <sheetName val="9_224"/>
      <sheetName val="10_124"/>
      <sheetName val="10_224"/>
      <sheetName val="10_324"/>
      <sheetName val="13_124"/>
      <sheetName val="13_224"/>
      <sheetName val="13_324"/>
      <sheetName val="13_424"/>
      <sheetName val="6_126"/>
      <sheetName val="6_226"/>
      <sheetName val="7_126"/>
      <sheetName val="7_226"/>
      <sheetName val="7_326"/>
      <sheetName val="9_126"/>
      <sheetName val="9_226"/>
      <sheetName val="10_126"/>
      <sheetName val="10_226"/>
      <sheetName val="10_326"/>
      <sheetName val="13_126"/>
      <sheetName val="13_226"/>
      <sheetName val="13_326"/>
      <sheetName val="13_426"/>
      <sheetName val="6_129"/>
      <sheetName val="6_229"/>
      <sheetName val="7_129"/>
      <sheetName val="7_229"/>
      <sheetName val="7_329"/>
      <sheetName val="9_129"/>
      <sheetName val="9_229"/>
      <sheetName val="10_129"/>
      <sheetName val="10_229"/>
      <sheetName val="10_329"/>
      <sheetName val="13_129"/>
      <sheetName val="13_229"/>
      <sheetName val="13_329"/>
      <sheetName val="13_429"/>
      <sheetName val="6_130"/>
      <sheetName val="6_230"/>
      <sheetName val="7_130"/>
      <sheetName val="7_230"/>
      <sheetName val="7_330"/>
      <sheetName val="9_130"/>
      <sheetName val="9_230"/>
      <sheetName val="10_130"/>
      <sheetName val="10_230"/>
      <sheetName val="10_330"/>
      <sheetName val="13_130"/>
      <sheetName val="13_230"/>
      <sheetName val="13_330"/>
      <sheetName val="13_430"/>
      <sheetName val="Datos Generales"/>
      <sheetName val="Sistema B"/>
      <sheetName val="ESF"/>
      <sheetName val="PL"/>
      <sheetName val="Vo.IGV"/>
      <sheetName val="Vo.IR"/>
      <sheetName val="ITAN"/>
      <sheetName val="IR Cía al 28.02.2020"/>
      <sheetName val="Anexo 1"/>
      <sheetName val="Anexo 2 "/>
      <sheetName val="Anexo 3 "/>
      <sheetName val="Sheet1"/>
      <sheetName val="BalCom"/>
      <sheetName val="A|32"/>
      <sheetName val="A|32.1"/>
      <sheetName val="CONSULTAS2019"/>
      <sheetName val="NIIF 16"/>
      <sheetName val="NRUS"/>
      <sheetName val="ECE"/>
      <sheetName val="A|3"/>
      <sheetName val="A|3.1"/>
      <sheetName val="A|3.2"/>
      <sheetName val="A|6"/>
      <sheetName val="A|6.1"/>
      <sheetName val="A|8"/>
      <sheetName val="A|8.1"/>
      <sheetName val="A|9"/>
      <sheetName val="A|9.1"/>
      <sheetName val="A|9.2"/>
      <sheetName val="A|9.3"/>
      <sheetName val="A|21"/>
      <sheetName val="A|21.2"/>
      <sheetName val="A|43"/>
      <sheetName val="A|43.1"/>
      <sheetName val="A|38"/>
      <sheetName val="A|38.1"/>
      <sheetName val="A|46"/>
      <sheetName val="A|55"/>
      <sheetName val="GMP-5"/>
      <sheetName val="GMP-1"/>
      <sheetName val="GMP-9"/>
      <sheetName val="GMP-2"/>
      <sheetName val="VendInvoice.Report_ILE"/>
      <sheetName val="P&amp;L"/>
      <sheetName val="Anexo N°01"/>
      <sheetName val="Mensualizado"/>
      <sheetName val="Anexo N°02"/>
      <sheetName val="Anexo N°02.2"/>
      <sheetName val="Anexo N°02.3"/>
      <sheetName val="Anexo N°02.4 "/>
      <sheetName val="Anexo N°02.5"/>
      <sheetName val="Anexo N°02.6"/>
      <sheetName val="Anexo N°03"/>
      <sheetName val="Anexo N°04"/>
      <sheetName val="Anexo N°05 "/>
      <sheetName val="Anexo N°06 "/>
      <sheetName val="Anexo N° 06.1"/>
      <sheetName val="Anexo N° 07 "/>
      <sheetName val="Anexo N° 08 "/>
      <sheetName val="Anexo N°09"/>
      <sheetName val="Anexo N°10 "/>
      <sheetName val="Anexo N°11 "/>
      <sheetName val="Anexo N°12"/>
      <sheetName val="BC "/>
      <sheetName val="IR"/>
      <sheetName val="Master Comp"/>
      <sheetName val="INVENT"/>
      <sheetName val="Aux Comisiones Det"/>
      <sheetName val="_x0006__x0007__x000e__x0011__x0"/>
    </sheetNames>
    <sheetDataSet>
      <sheetData sheetId="0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 refreshError="1"/>
      <sheetData sheetId="212" refreshError="1"/>
      <sheetData sheetId="213" refreshError="1"/>
      <sheetData sheetId="214"/>
      <sheetData sheetId="215"/>
      <sheetData sheetId="216"/>
      <sheetData sheetId="217"/>
      <sheetData sheetId="218" refreshError="1"/>
      <sheetData sheetId="219" refreshError="1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/>
      <sheetData sheetId="229"/>
      <sheetData sheetId="230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 refreshError="1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 refreshError="1"/>
      <sheetData sheetId="697" refreshError="1"/>
      <sheetData sheetId="698" refreshError="1"/>
      <sheetData sheetId="699" refreshError="1"/>
      <sheetData sheetId="700">
        <row r="83">
          <cell r="C83">
            <v>1553</v>
          </cell>
        </row>
      </sheetData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025BD-E44F-4CE0-B9C0-58CF754DEB73}">
  <sheetPr>
    <tabColor rgb="FFC00000"/>
  </sheetPr>
  <dimension ref="A1"/>
  <sheetViews>
    <sheetView showGridLines="0" workbookViewId="0">
      <selection activeCell="J24" sqref="J24"/>
    </sheetView>
  </sheetViews>
  <sheetFormatPr baseColWidth="10" defaultRowHeight="12"/>
  <cols>
    <col min="1" max="16384" width="10.90625" style="26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19DA8-45CF-4A8C-A707-4072AF545C91}">
  <sheetPr filterMode="1">
    <tabColor theme="7" tint="-0.499984740745262"/>
  </sheetPr>
  <dimension ref="A1:I122"/>
  <sheetViews>
    <sheetView showGridLines="0" zoomScale="130" zoomScaleNormal="130" workbookViewId="0">
      <pane xSplit="4" ySplit="2" topLeftCell="E3" activePane="bottomRight" state="frozen"/>
      <selection pane="topRight" activeCell="D1" sqref="D1"/>
      <selection pane="bottomLeft" activeCell="A3" sqref="A3"/>
      <selection pane="bottomRight" activeCell="B67" sqref="B67"/>
    </sheetView>
  </sheetViews>
  <sheetFormatPr baseColWidth="10" defaultRowHeight="12"/>
  <cols>
    <col min="1" max="1" width="5.81640625" style="26" customWidth="1"/>
    <col min="2" max="2" width="6" style="255" customWidth="1"/>
    <col min="3" max="3" width="7.1796875" style="255" bestFit="1" customWidth="1"/>
    <col min="4" max="4" width="28.08984375" style="250" bestFit="1" customWidth="1"/>
    <col min="5" max="6" width="10.90625" style="256"/>
    <col min="7" max="7" width="10.90625" style="250"/>
    <col min="8" max="8" width="15.6328125" style="26" bestFit="1" customWidth="1"/>
    <col min="9" max="16384" width="10.90625" style="26"/>
  </cols>
  <sheetData>
    <row r="1" spans="1:8" ht="12.5" thickBot="1">
      <c r="E1" s="256">
        <f>+SUM(E4:E1017)</f>
        <v>1195376.9916666667</v>
      </c>
      <c r="F1" s="256">
        <f>+SUM(F4:F1017)</f>
        <v>1195376.9916666667</v>
      </c>
      <c r="G1" s="251">
        <f>+E1-F1</f>
        <v>0</v>
      </c>
    </row>
    <row r="2" spans="1:8" ht="12.5" thickBot="1">
      <c r="B2" s="257" t="s">
        <v>314</v>
      </c>
      <c r="C2" s="257" t="s">
        <v>360</v>
      </c>
      <c r="D2" s="208" t="s">
        <v>1</v>
      </c>
      <c r="E2" s="261" t="s">
        <v>29</v>
      </c>
      <c r="F2" s="261" t="s">
        <v>30</v>
      </c>
      <c r="G2" s="249" t="s">
        <v>358</v>
      </c>
      <c r="H2" s="257" t="s">
        <v>361</v>
      </c>
    </row>
    <row r="3" spans="1:8" hidden="1">
      <c r="B3" s="22" t="s">
        <v>320</v>
      </c>
      <c r="C3" s="22"/>
    </row>
    <row r="4" spans="1:8" hidden="1">
      <c r="A4" s="26" t="s">
        <v>319</v>
      </c>
      <c r="B4" s="258">
        <v>6211</v>
      </c>
      <c r="C4" s="258" t="str">
        <f>+LEFT(B4,2)</f>
        <v>62</v>
      </c>
      <c r="D4" s="252" t="s">
        <v>216</v>
      </c>
      <c r="E4" s="262">
        <f>+'Op1'!N11</f>
        <v>28102.5</v>
      </c>
      <c r="F4" s="262"/>
      <c r="G4" s="251">
        <f>+E4-F4</f>
        <v>28102.5</v>
      </c>
    </row>
    <row r="5" spans="1:8" hidden="1">
      <c r="A5" s="26" t="s">
        <v>319</v>
      </c>
      <c r="B5" s="258">
        <v>417</v>
      </c>
      <c r="C5" s="258" t="str">
        <f t="shared" ref="C5:C8" si="0">+LEFT(B5,2)</f>
        <v>41</v>
      </c>
      <c r="D5" s="252" t="s">
        <v>217</v>
      </c>
      <c r="E5" s="262"/>
      <c r="F5" s="262">
        <f>+'Op1'!O12</f>
        <v>1329</v>
      </c>
      <c r="G5" s="251">
        <f t="shared" ref="G5:G68" si="1">+E5-F5</f>
        <v>-1329</v>
      </c>
    </row>
    <row r="6" spans="1:8" hidden="1">
      <c r="A6" s="26" t="s">
        <v>319</v>
      </c>
      <c r="B6" s="258">
        <v>4032</v>
      </c>
      <c r="C6" s="258" t="str">
        <f t="shared" si="0"/>
        <v>40</v>
      </c>
      <c r="D6" s="252" t="s">
        <v>21</v>
      </c>
      <c r="E6" s="262"/>
      <c r="F6" s="262">
        <f>+'Op1'!O13</f>
        <v>2353.3250000000003</v>
      </c>
      <c r="G6" s="251">
        <f t="shared" si="1"/>
        <v>-2353.3250000000003</v>
      </c>
    </row>
    <row r="7" spans="1:8" hidden="1">
      <c r="A7" s="26" t="s">
        <v>319</v>
      </c>
      <c r="B7" s="258">
        <v>40173</v>
      </c>
      <c r="C7" s="258" t="str">
        <f t="shared" si="0"/>
        <v>40</v>
      </c>
      <c r="D7" s="252" t="s">
        <v>218</v>
      </c>
      <c r="E7" s="262"/>
      <c r="F7" s="262">
        <f>+'Op1'!O14</f>
        <v>283.54000000000002</v>
      </c>
      <c r="G7" s="251">
        <f t="shared" si="1"/>
        <v>-283.54000000000002</v>
      </c>
    </row>
    <row r="8" spans="1:8" hidden="1">
      <c r="A8" s="26" t="s">
        <v>319</v>
      </c>
      <c r="B8" s="258">
        <v>4111</v>
      </c>
      <c r="C8" s="258" t="str">
        <f t="shared" si="0"/>
        <v>41</v>
      </c>
      <c r="D8" s="252" t="s">
        <v>219</v>
      </c>
      <c r="E8" s="262"/>
      <c r="F8" s="262">
        <f>+'Op1'!O15</f>
        <v>24136.635000000002</v>
      </c>
      <c r="G8" s="251">
        <f t="shared" si="1"/>
        <v>-24136.635000000002</v>
      </c>
    </row>
    <row r="9" spans="1:8" hidden="1">
      <c r="D9" s="254" t="s">
        <v>315</v>
      </c>
      <c r="G9" s="251">
        <f t="shared" si="1"/>
        <v>0</v>
      </c>
    </row>
    <row r="10" spans="1:8" hidden="1">
      <c r="B10" s="22" t="s">
        <v>321</v>
      </c>
      <c r="C10" s="22"/>
      <c r="G10" s="251">
        <f t="shared" si="1"/>
        <v>0</v>
      </c>
    </row>
    <row r="11" spans="1:8" hidden="1">
      <c r="A11" s="26" t="s">
        <v>319</v>
      </c>
      <c r="B11" s="255">
        <v>92</v>
      </c>
      <c r="C11" s="258" t="str">
        <f t="shared" ref="C11:C13" si="2">+LEFT(B11,2)</f>
        <v>92</v>
      </c>
      <c r="D11" s="250" t="s">
        <v>48</v>
      </c>
      <c r="E11" s="262">
        <f>+'Op1'!N18</f>
        <v>10000</v>
      </c>
      <c r="G11" s="251">
        <f t="shared" si="1"/>
        <v>10000</v>
      </c>
    </row>
    <row r="12" spans="1:8" hidden="1">
      <c r="A12" s="26" t="s">
        <v>319</v>
      </c>
      <c r="B12" s="255">
        <v>93</v>
      </c>
      <c r="C12" s="258" t="str">
        <f t="shared" si="2"/>
        <v>93</v>
      </c>
      <c r="D12" s="250" t="s">
        <v>49</v>
      </c>
      <c r="E12" s="262">
        <f>+'Op1'!N19</f>
        <v>18102.5</v>
      </c>
      <c r="G12" s="251">
        <f t="shared" si="1"/>
        <v>18102.5</v>
      </c>
    </row>
    <row r="13" spans="1:8" hidden="1">
      <c r="A13" s="26" t="s">
        <v>319</v>
      </c>
      <c r="B13" s="255">
        <v>79</v>
      </c>
      <c r="C13" s="258" t="str">
        <f t="shared" si="2"/>
        <v>79</v>
      </c>
      <c r="D13" s="250" t="s">
        <v>229</v>
      </c>
      <c r="F13" s="256">
        <f>+SUM(E11:E12)</f>
        <v>28102.5</v>
      </c>
      <c r="G13" s="251">
        <f t="shared" si="1"/>
        <v>-28102.5</v>
      </c>
    </row>
    <row r="14" spans="1:8" hidden="1">
      <c r="D14" s="254" t="s">
        <v>316</v>
      </c>
      <c r="G14" s="251">
        <f t="shared" si="1"/>
        <v>0</v>
      </c>
    </row>
    <row r="15" spans="1:8" hidden="1">
      <c r="B15" s="22" t="s">
        <v>322</v>
      </c>
      <c r="C15" s="22"/>
      <c r="G15" s="251">
        <f t="shared" si="1"/>
        <v>0</v>
      </c>
    </row>
    <row r="16" spans="1:8" hidden="1">
      <c r="A16" s="26" t="s">
        <v>319</v>
      </c>
      <c r="B16" s="258">
        <v>6271</v>
      </c>
      <c r="C16" s="258" t="str">
        <f t="shared" ref="C16:C19" si="3">+LEFT(B16,2)</f>
        <v>62</v>
      </c>
      <c r="D16" s="252" t="s">
        <v>222</v>
      </c>
      <c r="E16" s="262">
        <f>+'Op1'!N25</f>
        <v>2529.2249999999999</v>
      </c>
      <c r="F16" s="262"/>
      <c r="G16" s="251">
        <f t="shared" si="1"/>
        <v>2529.2249999999999</v>
      </c>
    </row>
    <row r="17" spans="1:7" hidden="1">
      <c r="A17" s="26" t="s">
        <v>319</v>
      </c>
      <c r="B17" s="258">
        <v>4031</v>
      </c>
      <c r="C17" s="258" t="str">
        <f t="shared" si="3"/>
        <v>40</v>
      </c>
      <c r="D17" s="252" t="s">
        <v>220</v>
      </c>
      <c r="E17" s="262"/>
      <c r="F17" s="262">
        <f>+E16</f>
        <v>2529.2249999999999</v>
      </c>
      <c r="G17" s="251">
        <f t="shared" si="1"/>
        <v>-2529.2249999999999</v>
      </c>
    </row>
    <row r="18" spans="1:7" hidden="1">
      <c r="A18" s="26" t="s">
        <v>319</v>
      </c>
      <c r="B18" s="258">
        <v>6274</v>
      </c>
      <c r="C18" s="258" t="str">
        <f t="shared" si="3"/>
        <v>62</v>
      </c>
      <c r="D18" s="252" t="s">
        <v>223</v>
      </c>
      <c r="E18" s="262">
        <f>+'Op1'!N27</f>
        <v>458.33333333333331</v>
      </c>
      <c r="G18" s="251">
        <f t="shared" si="1"/>
        <v>458.33333333333331</v>
      </c>
    </row>
    <row r="19" spans="1:7" hidden="1">
      <c r="A19" s="26" t="s">
        <v>319</v>
      </c>
      <c r="B19" s="258">
        <v>4039</v>
      </c>
      <c r="C19" s="258" t="str">
        <f t="shared" si="3"/>
        <v>40</v>
      </c>
      <c r="D19" s="252" t="s">
        <v>221</v>
      </c>
      <c r="E19" s="262"/>
      <c r="F19" s="262">
        <f>+E18</f>
        <v>458.33333333333331</v>
      </c>
      <c r="G19" s="251">
        <f t="shared" si="1"/>
        <v>-458.33333333333331</v>
      </c>
    </row>
    <row r="20" spans="1:7" hidden="1">
      <c r="D20" s="254" t="s">
        <v>317</v>
      </c>
      <c r="G20" s="251">
        <f t="shared" si="1"/>
        <v>0</v>
      </c>
    </row>
    <row r="21" spans="1:7" hidden="1">
      <c r="B21" s="22" t="s">
        <v>323</v>
      </c>
      <c r="C21" s="22"/>
      <c r="G21" s="251">
        <f t="shared" si="1"/>
        <v>0</v>
      </c>
    </row>
    <row r="22" spans="1:7" hidden="1">
      <c r="A22" s="26" t="s">
        <v>319</v>
      </c>
      <c r="B22" s="255">
        <v>92</v>
      </c>
      <c r="C22" s="258" t="str">
        <f t="shared" ref="C22:C24" si="4">+LEFT(B22,2)</f>
        <v>92</v>
      </c>
      <c r="D22" s="250" t="s">
        <v>48</v>
      </c>
      <c r="E22" s="262">
        <f>+'Op1'!N31</f>
        <v>1100</v>
      </c>
      <c r="G22" s="251">
        <f t="shared" si="1"/>
        <v>1100</v>
      </c>
    </row>
    <row r="23" spans="1:7" hidden="1">
      <c r="A23" s="26" t="s">
        <v>319</v>
      </c>
      <c r="B23" s="255">
        <v>93</v>
      </c>
      <c r="C23" s="258" t="str">
        <f t="shared" si="4"/>
        <v>93</v>
      </c>
      <c r="D23" s="250" t="s">
        <v>49</v>
      </c>
      <c r="E23" s="262">
        <f>+'Op1'!N32</f>
        <v>1887.5583333333332</v>
      </c>
      <c r="G23" s="251">
        <f t="shared" si="1"/>
        <v>1887.5583333333332</v>
      </c>
    </row>
    <row r="24" spans="1:7" hidden="1">
      <c r="A24" s="26" t="s">
        <v>319</v>
      </c>
      <c r="B24" s="255">
        <v>79</v>
      </c>
      <c r="C24" s="258" t="str">
        <f t="shared" si="4"/>
        <v>79</v>
      </c>
      <c r="D24" s="250" t="s">
        <v>229</v>
      </c>
      <c r="F24" s="256">
        <f>+SUM(E22:E23)</f>
        <v>2987.5583333333334</v>
      </c>
      <c r="G24" s="251">
        <f t="shared" si="1"/>
        <v>-2987.5583333333334</v>
      </c>
    </row>
    <row r="25" spans="1:7" hidden="1">
      <c r="D25" s="254" t="s">
        <v>316</v>
      </c>
      <c r="G25" s="251">
        <f t="shared" si="1"/>
        <v>0</v>
      </c>
    </row>
    <row r="26" spans="1:7" hidden="1">
      <c r="B26" s="22" t="s">
        <v>324</v>
      </c>
      <c r="C26" s="22"/>
      <c r="G26" s="251">
        <f t="shared" si="1"/>
        <v>0</v>
      </c>
    </row>
    <row r="27" spans="1:7" hidden="1">
      <c r="A27" s="26" t="s">
        <v>319</v>
      </c>
      <c r="B27" s="258">
        <v>6291</v>
      </c>
      <c r="C27" s="258" t="str">
        <f t="shared" ref="C27:C32" si="5">+LEFT(B27,2)</f>
        <v>62</v>
      </c>
      <c r="D27" s="252" t="s">
        <v>225</v>
      </c>
      <c r="E27" s="262">
        <f>+'Op1'!N36</f>
        <v>2341.875</v>
      </c>
      <c r="G27" s="251">
        <f t="shared" si="1"/>
        <v>2341.875</v>
      </c>
    </row>
    <row r="28" spans="1:7" hidden="1">
      <c r="A28" s="26" t="s">
        <v>319</v>
      </c>
      <c r="B28" s="258">
        <v>4151</v>
      </c>
      <c r="C28" s="258" t="str">
        <f t="shared" si="5"/>
        <v>41</v>
      </c>
      <c r="D28" s="252" t="s">
        <v>228</v>
      </c>
      <c r="E28" s="262"/>
      <c r="F28" s="262">
        <f>+E27</f>
        <v>2341.875</v>
      </c>
      <c r="G28" s="251">
        <f t="shared" si="1"/>
        <v>-2341.875</v>
      </c>
    </row>
    <row r="29" spans="1:7" hidden="1">
      <c r="A29" s="26" t="s">
        <v>319</v>
      </c>
      <c r="B29" s="258">
        <v>6214</v>
      </c>
      <c r="C29" s="258" t="str">
        <f t="shared" si="5"/>
        <v>62</v>
      </c>
      <c r="D29" s="252" t="s">
        <v>224</v>
      </c>
      <c r="E29" s="262">
        <f>+'Op1'!N38</f>
        <v>5105.2875000000004</v>
      </c>
      <c r="F29" s="262"/>
      <c r="G29" s="251">
        <f t="shared" si="1"/>
        <v>5105.2875000000004</v>
      </c>
    </row>
    <row r="30" spans="1:7" hidden="1">
      <c r="A30" s="26" t="s">
        <v>319</v>
      </c>
      <c r="B30" s="258">
        <v>4114</v>
      </c>
      <c r="C30" s="258" t="str">
        <f t="shared" si="5"/>
        <v>41</v>
      </c>
      <c r="D30" s="252" t="s">
        <v>226</v>
      </c>
      <c r="E30" s="262"/>
      <c r="F30" s="262">
        <f>+E29</f>
        <v>5105.2875000000004</v>
      </c>
      <c r="G30" s="251">
        <f t="shared" si="1"/>
        <v>-5105.2875000000004</v>
      </c>
    </row>
    <row r="31" spans="1:7" hidden="1">
      <c r="A31" s="26" t="s">
        <v>319</v>
      </c>
      <c r="B31" s="258">
        <v>6215</v>
      </c>
      <c r="C31" s="258" t="str">
        <f t="shared" si="5"/>
        <v>62</v>
      </c>
      <c r="D31" s="252" t="s">
        <v>163</v>
      </c>
      <c r="E31" s="262">
        <f>+'Op1'!N40</f>
        <v>2341.875</v>
      </c>
      <c r="F31" s="262"/>
      <c r="G31" s="251">
        <f t="shared" si="1"/>
        <v>2341.875</v>
      </c>
    </row>
    <row r="32" spans="1:7" hidden="1">
      <c r="A32" s="26" t="s">
        <v>319</v>
      </c>
      <c r="B32" s="258">
        <v>4115</v>
      </c>
      <c r="C32" s="258" t="str">
        <f t="shared" si="5"/>
        <v>41</v>
      </c>
      <c r="D32" s="252" t="s">
        <v>227</v>
      </c>
      <c r="E32" s="262"/>
      <c r="F32" s="262">
        <f>+E31</f>
        <v>2341.875</v>
      </c>
      <c r="G32" s="251">
        <f t="shared" si="1"/>
        <v>-2341.875</v>
      </c>
    </row>
    <row r="33" spans="1:7" hidden="1">
      <c r="D33" s="254" t="s">
        <v>318</v>
      </c>
      <c r="G33" s="251">
        <f t="shared" si="1"/>
        <v>0</v>
      </c>
    </row>
    <row r="34" spans="1:7" hidden="1">
      <c r="B34" s="22" t="s">
        <v>325</v>
      </c>
      <c r="C34" s="22"/>
      <c r="G34" s="251">
        <f t="shared" si="1"/>
        <v>0</v>
      </c>
    </row>
    <row r="35" spans="1:7" hidden="1">
      <c r="A35" s="26" t="s">
        <v>319</v>
      </c>
      <c r="B35" s="255">
        <v>92</v>
      </c>
      <c r="C35" s="258" t="str">
        <f t="shared" ref="C35:C37" si="6">+LEFT(B35,2)</f>
        <v>92</v>
      </c>
      <c r="D35" s="250" t="s">
        <v>48</v>
      </c>
      <c r="E35" s="262">
        <f>+'Op1'!N45</f>
        <v>3483.3333333333335</v>
      </c>
      <c r="G35" s="251">
        <f t="shared" si="1"/>
        <v>3483.3333333333335</v>
      </c>
    </row>
    <row r="36" spans="1:7" hidden="1">
      <c r="A36" s="26" t="s">
        <v>319</v>
      </c>
      <c r="B36" s="255">
        <v>93</v>
      </c>
      <c r="C36" s="258" t="str">
        <f t="shared" si="6"/>
        <v>93</v>
      </c>
      <c r="D36" s="250" t="s">
        <v>49</v>
      </c>
      <c r="E36" s="262">
        <f>+'Op1'!N46</f>
        <v>6305.7041666666673</v>
      </c>
      <c r="G36" s="251">
        <f t="shared" si="1"/>
        <v>6305.7041666666673</v>
      </c>
    </row>
    <row r="37" spans="1:7" hidden="1">
      <c r="A37" s="26" t="s">
        <v>319</v>
      </c>
      <c r="B37" s="255">
        <v>79</v>
      </c>
      <c r="C37" s="258" t="str">
        <f t="shared" si="6"/>
        <v>79</v>
      </c>
      <c r="D37" s="250" t="s">
        <v>229</v>
      </c>
      <c r="F37" s="256">
        <f>+SUM(E35:E36)</f>
        <v>9789.0375000000004</v>
      </c>
      <c r="G37" s="251">
        <f t="shared" si="1"/>
        <v>-9789.0375000000004</v>
      </c>
    </row>
    <row r="38" spans="1:7" hidden="1">
      <c r="D38" s="254" t="s">
        <v>316</v>
      </c>
      <c r="G38" s="251">
        <f t="shared" si="1"/>
        <v>0</v>
      </c>
    </row>
    <row r="39" spans="1:7" hidden="1">
      <c r="B39" s="22" t="s">
        <v>326</v>
      </c>
      <c r="C39" s="22"/>
      <c r="G39" s="251">
        <f t="shared" si="1"/>
        <v>0</v>
      </c>
    </row>
    <row r="40" spans="1:7" hidden="1">
      <c r="A40" s="26" t="s">
        <v>327</v>
      </c>
      <c r="B40" s="255">
        <v>6011</v>
      </c>
      <c r="C40" s="258" t="str">
        <f t="shared" ref="C40:C42" si="7">+LEFT(B40,2)</f>
        <v>60</v>
      </c>
      <c r="D40" s="250" t="s">
        <v>232</v>
      </c>
      <c r="E40" s="262">
        <f>+'Op2'!K11</f>
        <v>125000</v>
      </c>
      <c r="G40" s="251">
        <f t="shared" si="1"/>
        <v>125000</v>
      </c>
    </row>
    <row r="41" spans="1:7" hidden="1">
      <c r="A41" s="26" t="s">
        <v>327</v>
      </c>
      <c r="B41" s="255">
        <v>4011</v>
      </c>
      <c r="C41" s="258" t="str">
        <f t="shared" si="7"/>
        <v>40</v>
      </c>
      <c r="D41" s="250" t="s">
        <v>27</v>
      </c>
      <c r="E41" s="262">
        <f>+'Op2'!K12</f>
        <v>22500</v>
      </c>
      <c r="G41" s="251">
        <f t="shared" si="1"/>
        <v>22500</v>
      </c>
    </row>
    <row r="42" spans="1:7" hidden="1">
      <c r="A42" s="26" t="s">
        <v>327</v>
      </c>
      <c r="B42" s="255">
        <v>4211</v>
      </c>
      <c r="C42" s="258" t="str">
        <f t="shared" si="7"/>
        <v>42</v>
      </c>
      <c r="D42" s="250" t="s">
        <v>233</v>
      </c>
      <c r="E42" s="262"/>
      <c r="F42" s="256">
        <f>+'Op2'!L13</f>
        <v>147500</v>
      </c>
      <c r="G42" s="251">
        <f t="shared" si="1"/>
        <v>-147500</v>
      </c>
    </row>
    <row r="43" spans="1:7" hidden="1">
      <c r="D43" s="254" t="s">
        <v>328</v>
      </c>
      <c r="E43" s="262"/>
      <c r="G43" s="251">
        <f t="shared" si="1"/>
        <v>0</v>
      </c>
    </row>
    <row r="44" spans="1:7" hidden="1">
      <c r="B44" s="22" t="s">
        <v>334</v>
      </c>
      <c r="C44" s="22"/>
      <c r="E44" s="262"/>
      <c r="G44" s="251">
        <f t="shared" si="1"/>
        <v>0</v>
      </c>
    </row>
    <row r="45" spans="1:7" hidden="1">
      <c r="A45" s="26" t="s">
        <v>327</v>
      </c>
      <c r="B45" s="255">
        <v>20111</v>
      </c>
      <c r="C45" s="258" t="str">
        <f t="shared" ref="C45:C46" si="8">+LEFT(B45,2)</f>
        <v>20</v>
      </c>
      <c r="D45" s="250" t="s">
        <v>234</v>
      </c>
      <c r="E45" s="262">
        <f>+'Op2'!K15</f>
        <v>125000</v>
      </c>
      <c r="G45" s="251">
        <f t="shared" si="1"/>
        <v>125000</v>
      </c>
    </row>
    <row r="46" spans="1:7" hidden="1">
      <c r="A46" s="26" t="s">
        <v>327</v>
      </c>
      <c r="B46" s="255">
        <v>6111</v>
      </c>
      <c r="C46" s="258" t="str">
        <f t="shared" si="8"/>
        <v>61</v>
      </c>
      <c r="D46" s="250" t="s">
        <v>235</v>
      </c>
      <c r="E46" s="262"/>
      <c r="F46" s="256">
        <f>+E45</f>
        <v>125000</v>
      </c>
      <c r="G46" s="251">
        <f t="shared" si="1"/>
        <v>-125000</v>
      </c>
    </row>
    <row r="47" spans="1:7" hidden="1">
      <c r="D47" s="254" t="s">
        <v>329</v>
      </c>
      <c r="E47" s="262"/>
      <c r="G47" s="251">
        <f t="shared" si="1"/>
        <v>0</v>
      </c>
    </row>
    <row r="48" spans="1:7" hidden="1">
      <c r="B48" s="22" t="s">
        <v>335</v>
      </c>
      <c r="C48" s="22"/>
      <c r="E48" s="262"/>
      <c r="G48" s="251">
        <f t="shared" si="1"/>
        <v>0</v>
      </c>
    </row>
    <row r="49" spans="1:7" hidden="1">
      <c r="A49" s="26" t="s">
        <v>327</v>
      </c>
      <c r="B49" s="255">
        <v>6011</v>
      </c>
      <c r="C49" s="258" t="str">
        <f t="shared" ref="C49:C51" si="9">+LEFT(B49,2)</f>
        <v>60</v>
      </c>
      <c r="D49" s="250" t="s">
        <v>232</v>
      </c>
      <c r="E49" s="262">
        <f>+'Op2'!K19</f>
        <v>189000</v>
      </c>
      <c r="G49" s="251">
        <f t="shared" si="1"/>
        <v>189000</v>
      </c>
    </row>
    <row r="50" spans="1:7" hidden="1">
      <c r="A50" s="26" t="s">
        <v>327</v>
      </c>
      <c r="B50" s="255">
        <v>4011</v>
      </c>
      <c r="C50" s="258" t="str">
        <f t="shared" si="9"/>
        <v>40</v>
      </c>
      <c r="D50" s="250" t="s">
        <v>27</v>
      </c>
      <c r="E50" s="262">
        <f>+'Op2'!K20</f>
        <v>34020</v>
      </c>
      <c r="G50" s="251">
        <f t="shared" si="1"/>
        <v>34020</v>
      </c>
    </row>
    <row r="51" spans="1:7" hidden="1">
      <c r="A51" s="26" t="s">
        <v>327</v>
      </c>
      <c r="B51" s="255">
        <v>4211</v>
      </c>
      <c r="C51" s="258" t="str">
        <f t="shared" si="9"/>
        <v>42</v>
      </c>
      <c r="D51" s="250" t="s">
        <v>233</v>
      </c>
      <c r="E51" s="262"/>
      <c r="F51" s="256">
        <f>+'Op2'!L21</f>
        <v>223020</v>
      </c>
      <c r="G51" s="251">
        <f t="shared" si="1"/>
        <v>-223020</v>
      </c>
    </row>
    <row r="52" spans="1:7" hidden="1">
      <c r="D52" s="254" t="s">
        <v>328</v>
      </c>
      <c r="E52" s="262"/>
      <c r="G52" s="251">
        <f t="shared" si="1"/>
        <v>0</v>
      </c>
    </row>
    <row r="53" spans="1:7" hidden="1">
      <c r="B53" s="22" t="s">
        <v>336</v>
      </c>
      <c r="C53" s="22"/>
      <c r="D53" s="254"/>
      <c r="E53" s="262"/>
      <c r="G53" s="251">
        <f t="shared" si="1"/>
        <v>0</v>
      </c>
    </row>
    <row r="54" spans="1:7" hidden="1">
      <c r="A54" s="26" t="s">
        <v>327</v>
      </c>
      <c r="B54" s="255">
        <v>20111</v>
      </c>
      <c r="C54" s="258" t="str">
        <f t="shared" ref="C54:C55" si="10">+LEFT(B54,2)</f>
        <v>20</v>
      </c>
      <c r="D54" s="250" t="s">
        <v>234</v>
      </c>
      <c r="E54" s="262">
        <f>+'Op2'!K23</f>
        <v>189000</v>
      </c>
      <c r="G54" s="251">
        <f t="shared" si="1"/>
        <v>189000</v>
      </c>
    </row>
    <row r="55" spans="1:7" hidden="1">
      <c r="A55" s="26" t="s">
        <v>327</v>
      </c>
      <c r="B55" s="255">
        <v>6111</v>
      </c>
      <c r="C55" s="258" t="str">
        <f t="shared" si="10"/>
        <v>61</v>
      </c>
      <c r="D55" s="250" t="s">
        <v>235</v>
      </c>
      <c r="E55" s="262"/>
      <c r="F55" s="256">
        <f>+E54</f>
        <v>189000</v>
      </c>
      <c r="G55" s="251">
        <f t="shared" si="1"/>
        <v>-189000</v>
      </c>
    </row>
    <row r="56" spans="1:7" hidden="1">
      <c r="D56" s="254" t="s">
        <v>329</v>
      </c>
      <c r="E56" s="262"/>
      <c r="G56" s="251">
        <f t="shared" si="1"/>
        <v>0</v>
      </c>
    </row>
    <row r="57" spans="1:7" hidden="1">
      <c r="B57" s="22" t="s">
        <v>337</v>
      </c>
      <c r="C57" s="22"/>
      <c r="E57" s="262"/>
      <c r="G57" s="251">
        <f t="shared" si="1"/>
        <v>0</v>
      </c>
    </row>
    <row r="58" spans="1:7" hidden="1">
      <c r="A58" s="26" t="s">
        <v>327</v>
      </c>
      <c r="B58" s="255">
        <v>6323</v>
      </c>
      <c r="C58" s="258" t="str">
        <f t="shared" ref="C58:C60" si="11">+LEFT(B58,2)</f>
        <v>63</v>
      </c>
      <c r="D58" s="250" t="s">
        <v>238</v>
      </c>
      <c r="E58" s="262">
        <f>+'Op2'!K31</f>
        <v>2500</v>
      </c>
      <c r="G58" s="251">
        <f t="shared" si="1"/>
        <v>2500</v>
      </c>
    </row>
    <row r="59" spans="1:7" hidden="1">
      <c r="A59" s="26" t="s">
        <v>327</v>
      </c>
      <c r="B59" s="255">
        <v>4011</v>
      </c>
      <c r="C59" s="258" t="str">
        <f t="shared" si="11"/>
        <v>40</v>
      </c>
      <c r="D59" s="250" t="s">
        <v>27</v>
      </c>
      <c r="E59" s="262">
        <f>+'Op2'!K32</f>
        <v>450</v>
      </c>
      <c r="G59" s="251">
        <f t="shared" si="1"/>
        <v>450</v>
      </c>
    </row>
    <row r="60" spans="1:7" hidden="1">
      <c r="A60" s="26" t="s">
        <v>327</v>
      </c>
      <c r="B60" s="255">
        <v>4699</v>
      </c>
      <c r="C60" s="258" t="str">
        <f t="shared" si="11"/>
        <v>46</v>
      </c>
      <c r="D60" s="250" t="s">
        <v>239</v>
      </c>
      <c r="E60" s="262"/>
      <c r="F60" s="256">
        <f>+'Op2'!L33</f>
        <v>2950</v>
      </c>
      <c r="G60" s="251">
        <f t="shared" si="1"/>
        <v>-2950</v>
      </c>
    </row>
    <row r="61" spans="1:7" hidden="1">
      <c r="D61" s="254" t="s">
        <v>330</v>
      </c>
      <c r="E61" s="262"/>
      <c r="G61" s="251">
        <f t="shared" si="1"/>
        <v>0</v>
      </c>
    </row>
    <row r="62" spans="1:7" hidden="1">
      <c r="B62" s="22" t="s">
        <v>338</v>
      </c>
      <c r="C62" s="22"/>
      <c r="E62" s="262"/>
      <c r="G62" s="251">
        <f t="shared" si="1"/>
        <v>0</v>
      </c>
    </row>
    <row r="63" spans="1:7" hidden="1">
      <c r="A63" s="26" t="s">
        <v>327</v>
      </c>
      <c r="B63" s="255">
        <v>92</v>
      </c>
      <c r="C63" s="258" t="str">
        <f t="shared" ref="C63:C64" si="12">+LEFT(B63,2)</f>
        <v>92</v>
      </c>
      <c r="D63" s="250" t="s">
        <v>48</v>
      </c>
      <c r="E63" s="262">
        <f>+'Op2'!K36</f>
        <v>2500</v>
      </c>
      <c r="G63" s="251">
        <f t="shared" si="1"/>
        <v>2500</v>
      </c>
    </row>
    <row r="64" spans="1:7" hidden="1">
      <c r="A64" s="26" t="s">
        <v>327</v>
      </c>
      <c r="B64" s="255">
        <v>79</v>
      </c>
      <c r="C64" s="258" t="str">
        <f t="shared" si="12"/>
        <v>79</v>
      </c>
      <c r="D64" s="250" t="s">
        <v>229</v>
      </c>
      <c r="E64" s="262"/>
      <c r="F64" s="256">
        <f>+SUM(E63:E63)</f>
        <v>2500</v>
      </c>
      <c r="G64" s="251">
        <f t="shared" si="1"/>
        <v>-2500</v>
      </c>
    </row>
    <row r="65" spans="1:9" hidden="1">
      <c r="D65" s="254" t="s">
        <v>316</v>
      </c>
      <c r="E65" s="262"/>
      <c r="G65" s="251">
        <f t="shared" si="1"/>
        <v>0</v>
      </c>
    </row>
    <row r="66" spans="1:9" hidden="1">
      <c r="B66" s="22" t="s">
        <v>339</v>
      </c>
      <c r="C66" s="22"/>
      <c r="E66" s="262"/>
      <c r="G66" s="251">
        <f t="shared" si="1"/>
        <v>0</v>
      </c>
    </row>
    <row r="67" spans="1:9">
      <c r="A67" s="26" t="s">
        <v>327</v>
      </c>
      <c r="B67" s="255">
        <v>182</v>
      </c>
      <c r="C67" s="258" t="str">
        <f t="shared" ref="C67:C69" si="13">+LEFT(B67,2)</f>
        <v>18</v>
      </c>
      <c r="D67" s="250" t="s">
        <v>256</v>
      </c>
      <c r="E67" s="262">
        <f>+'Op2'!K47</f>
        <v>5500</v>
      </c>
      <c r="G67" s="251">
        <f t="shared" si="1"/>
        <v>5500</v>
      </c>
    </row>
    <row r="68" spans="1:9" hidden="1">
      <c r="A68" s="26" t="s">
        <v>327</v>
      </c>
      <c r="B68" s="255">
        <v>4011</v>
      </c>
      <c r="C68" s="258" t="str">
        <f t="shared" si="13"/>
        <v>40</v>
      </c>
      <c r="D68" s="250" t="s">
        <v>27</v>
      </c>
      <c r="E68" s="262">
        <f>+'Op2'!K48</f>
        <v>990</v>
      </c>
      <c r="G68" s="251">
        <f t="shared" si="1"/>
        <v>990</v>
      </c>
    </row>
    <row r="69" spans="1:9" hidden="1">
      <c r="A69" s="26" t="s">
        <v>327</v>
      </c>
      <c r="B69" s="255">
        <v>4699</v>
      </c>
      <c r="C69" s="258" t="str">
        <f t="shared" si="13"/>
        <v>46</v>
      </c>
      <c r="D69" s="250" t="s">
        <v>239</v>
      </c>
      <c r="E69" s="262"/>
      <c r="F69" s="256">
        <f>+'Op2'!L49</f>
        <v>6490</v>
      </c>
      <c r="G69" s="251">
        <f t="shared" ref="G69:G116" si="14">+E69-F69</f>
        <v>-6490</v>
      </c>
    </row>
    <row r="70" spans="1:9" hidden="1">
      <c r="D70" s="254" t="s">
        <v>331</v>
      </c>
      <c r="E70" s="262"/>
      <c r="G70" s="251">
        <f t="shared" si="14"/>
        <v>0</v>
      </c>
    </row>
    <row r="71" spans="1:9" hidden="1">
      <c r="B71" s="22" t="s">
        <v>340</v>
      </c>
      <c r="C71" s="22"/>
      <c r="E71" s="262"/>
      <c r="G71" s="251">
        <f t="shared" si="14"/>
        <v>0</v>
      </c>
    </row>
    <row r="72" spans="1:9" hidden="1">
      <c r="A72" s="26" t="s">
        <v>327</v>
      </c>
      <c r="B72" s="255">
        <v>4699</v>
      </c>
      <c r="C72" s="258" t="str">
        <f t="shared" ref="C72:C73" si="15">+LEFT(B72,2)</f>
        <v>46</v>
      </c>
      <c r="D72" s="250" t="s">
        <v>239</v>
      </c>
      <c r="E72" s="262">
        <f>+'Op2'!K52</f>
        <v>6490</v>
      </c>
      <c r="G72" s="251">
        <f t="shared" si="14"/>
        <v>6490</v>
      </c>
    </row>
    <row r="73" spans="1:9" hidden="1">
      <c r="A73" s="26" t="s">
        <v>327</v>
      </c>
      <c r="B73" s="255">
        <v>1041</v>
      </c>
      <c r="C73" s="258" t="str">
        <f t="shared" si="15"/>
        <v>10</v>
      </c>
      <c r="D73" s="250" t="s">
        <v>248</v>
      </c>
      <c r="E73" s="262"/>
      <c r="F73" s="256">
        <f>+E72</f>
        <v>6490</v>
      </c>
      <c r="G73" s="251">
        <f t="shared" si="14"/>
        <v>-6490</v>
      </c>
    </row>
    <row r="74" spans="1:9" hidden="1">
      <c r="D74" s="254" t="s">
        <v>332</v>
      </c>
      <c r="E74" s="262"/>
      <c r="G74" s="251">
        <f t="shared" si="14"/>
        <v>0</v>
      </c>
    </row>
    <row r="75" spans="1:9" hidden="1">
      <c r="B75" s="22" t="s">
        <v>341</v>
      </c>
      <c r="C75" s="22"/>
      <c r="D75" s="254"/>
      <c r="E75" s="262"/>
      <c r="G75" s="251">
        <f t="shared" si="14"/>
        <v>0</v>
      </c>
    </row>
    <row r="76" spans="1:9" hidden="1">
      <c r="A76" s="26" t="s">
        <v>327</v>
      </c>
      <c r="B76" s="255">
        <v>4039</v>
      </c>
      <c r="C76" s="258" t="str">
        <f t="shared" ref="C76:C77" si="16">+LEFT(B76,2)</f>
        <v>40</v>
      </c>
      <c r="D76" s="250" t="s">
        <v>221</v>
      </c>
      <c r="E76" s="262">
        <f>+'Op2'!K61</f>
        <v>458.33333333333331</v>
      </c>
      <c r="G76" s="251">
        <f t="shared" si="14"/>
        <v>458.33333333333331</v>
      </c>
    </row>
    <row r="77" spans="1:9">
      <c r="A77" s="26" t="s">
        <v>327</v>
      </c>
      <c r="B77" s="255">
        <v>182</v>
      </c>
      <c r="C77" s="258" t="str">
        <f t="shared" si="16"/>
        <v>18</v>
      </c>
      <c r="D77" s="250" t="s">
        <v>256</v>
      </c>
      <c r="E77" s="262"/>
      <c r="F77" s="256">
        <f>+'Op2'!L62</f>
        <v>458.33333333333331</v>
      </c>
      <c r="G77" s="251">
        <f t="shared" si="14"/>
        <v>-458.33333333333331</v>
      </c>
    </row>
    <row r="78" spans="1:9" hidden="1">
      <c r="D78" s="254" t="s">
        <v>333</v>
      </c>
      <c r="E78" s="262"/>
      <c r="G78" s="251">
        <f t="shared" si="14"/>
        <v>0</v>
      </c>
    </row>
    <row r="79" spans="1:9" hidden="1">
      <c r="B79" s="22" t="s">
        <v>342</v>
      </c>
      <c r="C79" s="22"/>
      <c r="E79" s="262"/>
      <c r="F79" s="262"/>
      <c r="G79" s="251">
        <f t="shared" si="14"/>
        <v>0</v>
      </c>
      <c r="H79" s="253"/>
      <c r="I79" s="253"/>
    </row>
    <row r="80" spans="1:9" hidden="1">
      <c r="B80" s="131">
        <v>1212</v>
      </c>
      <c r="C80" s="258" t="str">
        <f t="shared" ref="C80:C82" si="17">+LEFT(B80,2)</f>
        <v>12</v>
      </c>
      <c r="D80" s="3" t="s">
        <v>241</v>
      </c>
      <c r="E80" s="262">
        <f>+'Op3'!I11</f>
        <v>32544.400000000001</v>
      </c>
      <c r="F80" s="262"/>
      <c r="G80" s="251">
        <f t="shared" si="14"/>
        <v>32544.400000000001</v>
      </c>
      <c r="H80" s="253"/>
      <c r="I80" s="253"/>
    </row>
    <row r="81" spans="2:9" hidden="1">
      <c r="B81" s="260">
        <v>4011</v>
      </c>
      <c r="C81" s="258" t="str">
        <f t="shared" si="17"/>
        <v>40</v>
      </c>
      <c r="D81" s="18" t="s">
        <v>27</v>
      </c>
      <c r="E81" s="262"/>
      <c r="F81" s="262">
        <f>+'Op3'!K12</f>
        <v>4964.3999999999996</v>
      </c>
      <c r="G81" s="251">
        <f t="shared" si="14"/>
        <v>-4964.3999999999996</v>
      </c>
      <c r="H81" s="253"/>
      <c r="I81" s="253"/>
    </row>
    <row r="82" spans="2:9" hidden="1">
      <c r="B82" s="260">
        <v>70111</v>
      </c>
      <c r="C82" s="258" t="str">
        <f t="shared" si="17"/>
        <v>70</v>
      </c>
      <c r="D82" s="18" t="s">
        <v>240</v>
      </c>
      <c r="E82" s="262"/>
      <c r="F82" s="262">
        <f>+'Op3'!K13</f>
        <v>27580</v>
      </c>
      <c r="G82" s="251">
        <f t="shared" si="14"/>
        <v>-27580</v>
      </c>
      <c r="H82" s="253"/>
      <c r="I82" s="253"/>
    </row>
    <row r="83" spans="2:9" hidden="1">
      <c r="B83" s="260"/>
      <c r="C83" s="260"/>
      <c r="D83" s="254" t="s">
        <v>343</v>
      </c>
      <c r="E83" s="262"/>
      <c r="F83" s="262"/>
      <c r="G83" s="251">
        <f t="shared" si="14"/>
        <v>0</v>
      </c>
      <c r="H83" s="253"/>
      <c r="I83" s="253"/>
    </row>
    <row r="84" spans="2:9" hidden="1">
      <c r="B84" s="22" t="s">
        <v>346</v>
      </c>
      <c r="C84" s="22"/>
      <c r="D84" s="18"/>
      <c r="E84" s="262"/>
      <c r="F84" s="262"/>
      <c r="G84" s="251">
        <f t="shared" si="14"/>
        <v>0</v>
      </c>
      <c r="H84" s="253"/>
      <c r="I84" s="253"/>
    </row>
    <row r="85" spans="2:9" hidden="1">
      <c r="B85" s="260">
        <v>6912</v>
      </c>
      <c r="C85" s="258" t="str">
        <f t="shared" ref="C85:C86" si="18">+LEFT(B85,2)</f>
        <v>69</v>
      </c>
      <c r="D85" s="18" t="s">
        <v>243</v>
      </c>
      <c r="E85" s="262">
        <f>+'Op3'!I16</f>
        <v>21456.666666666668</v>
      </c>
      <c r="F85" s="262"/>
      <c r="G85" s="251">
        <f t="shared" si="14"/>
        <v>21456.666666666668</v>
      </c>
      <c r="H85" s="253"/>
      <c r="I85" s="253"/>
    </row>
    <row r="86" spans="2:9" hidden="1">
      <c r="B86" s="260">
        <v>20111</v>
      </c>
      <c r="C86" s="258" t="str">
        <f t="shared" si="18"/>
        <v>20</v>
      </c>
      <c r="D86" s="18" t="s">
        <v>242</v>
      </c>
      <c r="E86" s="262"/>
      <c r="F86" s="262">
        <f>+'Op3'!K17</f>
        <v>21456.666666666668</v>
      </c>
      <c r="G86" s="251">
        <f t="shared" si="14"/>
        <v>-21456.666666666668</v>
      </c>
      <c r="H86" s="253"/>
      <c r="I86" s="253"/>
    </row>
    <row r="87" spans="2:9" hidden="1">
      <c r="B87" s="260"/>
      <c r="C87" s="260"/>
      <c r="D87" s="254" t="s">
        <v>344</v>
      </c>
      <c r="E87" s="262"/>
      <c r="F87" s="262"/>
      <c r="G87" s="251">
        <f t="shared" si="14"/>
        <v>0</v>
      </c>
      <c r="H87" s="253"/>
      <c r="I87" s="253"/>
    </row>
    <row r="88" spans="2:9" hidden="1">
      <c r="B88" s="22" t="s">
        <v>347</v>
      </c>
      <c r="C88" s="22"/>
      <c r="D88" s="18"/>
      <c r="E88" s="262"/>
      <c r="F88" s="262"/>
      <c r="G88" s="251">
        <f t="shared" si="14"/>
        <v>0</v>
      </c>
      <c r="H88" s="253"/>
      <c r="I88" s="253"/>
    </row>
    <row r="89" spans="2:9" hidden="1">
      <c r="B89" s="260">
        <v>1041</v>
      </c>
      <c r="C89" s="258" t="str">
        <f t="shared" ref="C89:C90" si="19">+LEFT(B89,2)</f>
        <v>10</v>
      </c>
      <c r="D89" s="18" t="s">
        <v>244</v>
      </c>
      <c r="E89" s="262">
        <f>+'Op3'!I20</f>
        <v>13074.4</v>
      </c>
      <c r="F89" s="262"/>
      <c r="G89" s="251">
        <f t="shared" si="14"/>
        <v>13074.4</v>
      </c>
      <c r="H89" s="253"/>
      <c r="I89" s="253"/>
    </row>
    <row r="90" spans="2:9" hidden="1">
      <c r="B90" s="260">
        <v>1212</v>
      </c>
      <c r="C90" s="258" t="str">
        <f t="shared" si="19"/>
        <v>12</v>
      </c>
      <c r="D90" s="18" t="s">
        <v>241</v>
      </c>
      <c r="E90" s="262"/>
      <c r="F90" s="262">
        <f>+'Op3'!K21</f>
        <v>13074.4</v>
      </c>
      <c r="G90" s="251">
        <f t="shared" si="14"/>
        <v>-13074.4</v>
      </c>
      <c r="H90" s="253"/>
      <c r="I90" s="253"/>
    </row>
    <row r="91" spans="2:9" hidden="1">
      <c r="B91" s="260"/>
      <c r="C91" s="260"/>
      <c r="D91" s="254" t="s">
        <v>345</v>
      </c>
      <c r="E91" s="262"/>
      <c r="F91" s="262"/>
      <c r="G91" s="251">
        <f t="shared" si="14"/>
        <v>0</v>
      </c>
      <c r="H91" s="253"/>
      <c r="I91" s="253"/>
    </row>
    <row r="92" spans="2:9" hidden="1">
      <c r="B92" s="22" t="s">
        <v>348</v>
      </c>
      <c r="C92" s="22"/>
      <c r="E92" s="262"/>
      <c r="F92" s="262"/>
      <c r="G92" s="251">
        <f t="shared" si="14"/>
        <v>0</v>
      </c>
      <c r="H92" s="253"/>
      <c r="I92" s="253"/>
    </row>
    <row r="93" spans="2:9">
      <c r="B93" s="260">
        <v>189</v>
      </c>
      <c r="C93" s="258" t="str">
        <f t="shared" ref="C93:C94" si="20">+LEFT(B93,2)</f>
        <v>18</v>
      </c>
      <c r="D93" s="18" t="s">
        <v>247</v>
      </c>
      <c r="E93" s="263">
        <f>+'Op4'!F15</f>
        <v>39780</v>
      </c>
      <c r="F93" s="263"/>
      <c r="G93" s="251">
        <f t="shared" si="14"/>
        <v>39780</v>
      </c>
      <c r="H93" s="3"/>
      <c r="I93" s="3"/>
    </row>
    <row r="94" spans="2:9" hidden="1">
      <c r="B94" s="260">
        <v>1041</v>
      </c>
      <c r="C94" s="258" t="str">
        <f t="shared" si="20"/>
        <v>10</v>
      </c>
      <c r="D94" s="18" t="s">
        <v>248</v>
      </c>
      <c r="E94" s="263"/>
      <c r="F94" s="263">
        <f>+'Op4'!H16</f>
        <v>39780</v>
      </c>
      <c r="G94" s="251">
        <f t="shared" si="14"/>
        <v>-39780</v>
      </c>
      <c r="H94" s="3"/>
      <c r="I94" s="3"/>
    </row>
    <row r="95" spans="2:9" hidden="1">
      <c r="D95" s="254" t="s">
        <v>351</v>
      </c>
      <c r="E95" s="262"/>
      <c r="F95" s="262"/>
      <c r="G95" s="251">
        <f t="shared" si="14"/>
        <v>0</v>
      </c>
      <c r="H95" s="253"/>
      <c r="I95" s="253"/>
    </row>
    <row r="96" spans="2:9" hidden="1">
      <c r="B96" s="22" t="s">
        <v>349</v>
      </c>
      <c r="C96" s="22"/>
      <c r="E96" s="262"/>
      <c r="F96" s="262"/>
      <c r="G96" s="251">
        <f t="shared" si="14"/>
        <v>0</v>
      </c>
      <c r="H96" s="253"/>
      <c r="I96" s="253"/>
    </row>
    <row r="97" spans="2:9" hidden="1">
      <c r="B97" s="260">
        <v>635</v>
      </c>
      <c r="C97" s="258" t="str">
        <f t="shared" ref="C97:C98" si="21">+LEFT(B97,2)</f>
        <v>63</v>
      </c>
      <c r="D97" s="18" t="s">
        <v>250</v>
      </c>
      <c r="E97" s="262">
        <f>+'Op4'!F25</f>
        <v>3978</v>
      </c>
      <c r="F97" s="262"/>
      <c r="G97" s="251">
        <f t="shared" si="14"/>
        <v>3978</v>
      </c>
      <c r="H97" s="253"/>
      <c r="I97" s="253"/>
    </row>
    <row r="98" spans="2:9" hidden="1">
      <c r="B98" s="260">
        <v>4699</v>
      </c>
      <c r="C98" s="258" t="str">
        <f t="shared" si="21"/>
        <v>46</v>
      </c>
      <c r="D98" s="260" t="s">
        <v>239</v>
      </c>
      <c r="E98" s="262"/>
      <c r="F98" s="262">
        <f>+E97</f>
        <v>3978</v>
      </c>
      <c r="G98" s="251">
        <f t="shared" si="14"/>
        <v>-3978</v>
      </c>
      <c r="H98" s="253"/>
      <c r="I98" s="253"/>
    </row>
    <row r="99" spans="2:9" hidden="1">
      <c r="B99" s="260"/>
      <c r="C99" s="260"/>
      <c r="D99" s="254" t="s">
        <v>352</v>
      </c>
      <c r="E99" s="262"/>
      <c r="F99" s="262"/>
      <c r="G99" s="251">
        <f t="shared" si="14"/>
        <v>0</v>
      </c>
      <c r="H99" s="253"/>
      <c r="I99" s="253"/>
    </row>
    <row r="100" spans="2:9" hidden="1">
      <c r="B100" s="22" t="s">
        <v>350</v>
      </c>
      <c r="C100" s="22"/>
      <c r="D100" s="18"/>
      <c r="E100" s="262"/>
      <c r="F100" s="262"/>
      <c r="G100" s="251">
        <f t="shared" si="14"/>
        <v>0</v>
      </c>
      <c r="H100" s="253"/>
      <c r="I100" s="253"/>
    </row>
    <row r="101" spans="2:9" hidden="1">
      <c r="B101" s="255">
        <v>93</v>
      </c>
      <c r="C101" s="258" t="str">
        <f t="shared" ref="C101:C102" si="22">+LEFT(B101,2)</f>
        <v>93</v>
      </c>
      <c r="D101" s="250" t="s">
        <v>49</v>
      </c>
      <c r="E101" s="262">
        <f>+'Op4'!F30</f>
        <v>3978</v>
      </c>
      <c r="F101" s="262"/>
      <c r="G101" s="251">
        <f t="shared" si="14"/>
        <v>3978</v>
      </c>
      <c r="H101" s="253"/>
      <c r="I101" s="253"/>
    </row>
    <row r="102" spans="2:9" hidden="1">
      <c r="B102" s="255">
        <v>79</v>
      </c>
      <c r="C102" s="258" t="str">
        <f t="shared" si="22"/>
        <v>79</v>
      </c>
      <c r="D102" s="250" t="s">
        <v>229</v>
      </c>
      <c r="E102" s="262"/>
      <c r="F102" s="262">
        <f>+'Op4'!H31</f>
        <v>3978</v>
      </c>
      <c r="G102" s="251">
        <f t="shared" si="14"/>
        <v>-3978</v>
      </c>
      <c r="H102" s="253"/>
      <c r="I102" s="253"/>
    </row>
    <row r="103" spans="2:9" hidden="1">
      <c r="D103" s="254" t="s">
        <v>316</v>
      </c>
      <c r="G103" s="251">
        <f t="shared" si="14"/>
        <v>0</v>
      </c>
    </row>
    <row r="104" spans="2:9" hidden="1">
      <c r="B104" s="22" t="s">
        <v>353</v>
      </c>
      <c r="C104" s="22"/>
      <c r="G104" s="251">
        <f t="shared" si="14"/>
        <v>0</v>
      </c>
    </row>
    <row r="105" spans="2:9" hidden="1">
      <c r="B105" s="260">
        <v>334</v>
      </c>
      <c r="C105" s="258" t="str">
        <f t="shared" ref="C105:C107" si="23">+LEFT(B105,2)</f>
        <v>33</v>
      </c>
      <c r="D105" s="18" t="s">
        <v>305</v>
      </c>
      <c r="E105" s="263">
        <f>+'Op5'!D12</f>
        <v>241800</v>
      </c>
      <c r="F105" s="263"/>
      <c r="G105" s="251">
        <f t="shared" si="14"/>
        <v>241800</v>
      </c>
    </row>
    <row r="106" spans="2:9" hidden="1">
      <c r="B106" s="260">
        <v>4011</v>
      </c>
      <c r="C106" s="258" t="str">
        <f t="shared" si="23"/>
        <v>40</v>
      </c>
      <c r="D106" s="18" t="s">
        <v>27</v>
      </c>
      <c r="E106" s="263">
        <f>+'Op5'!D13</f>
        <v>43524</v>
      </c>
      <c r="F106" s="263"/>
      <c r="G106" s="251">
        <f t="shared" si="14"/>
        <v>43524</v>
      </c>
    </row>
    <row r="107" spans="2:9" hidden="1">
      <c r="B107" s="260">
        <v>4699</v>
      </c>
      <c r="C107" s="258" t="str">
        <f t="shared" si="23"/>
        <v>46</v>
      </c>
      <c r="D107" s="260" t="s">
        <v>239</v>
      </c>
      <c r="E107" s="263"/>
      <c r="F107" s="263">
        <f>+'Op5'!E14</f>
        <v>285324</v>
      </c>
      <c r="G107" s="251">
        <f t="shared" si="14"/>
        <v>-285324</v>
      </c>
    </row>
    <row r="108" spans="2:9" hidden="1">
      <c r="B108" s="260"/>
      <c r="C108" s="260"/>
      <c r="D108" s="254" t="s">
        <v>354</v>
      </c>
      <c r="E108" s="263"/>
      <c r="F108" s="263"/>
      <c r="G108" s="251">
        <f t="shared" si="14"/>
        <v>0</v>
      </c>
    </row>
    <row r="109" spans="2:9" hidden="1">
      <c r="B109" s="22" t="s">
        <v>356</v>
      </c>
      <c r="C109" s="22"/>
      <c r="D109" s="18"/>
      <c r="E109" s="263"/>
      <c r="F109" s="263"/>
      <c r="G109" s="251">
        <f t="shared" si="14"/>
        <v>0</v>
      </c>
    </row>
    <row r="110" spans="2:9" hidden="1">
      <c r="B110" s="260">
        <v>684</v>
      </c>
      <c r="C110" s="258" t="str">
        <f t="shared" ref="C110:C111" si="24">+LEFT(B110,2)</f>
        <v>68</v>
      </c>
      <c r="D110" s="18" t="s">
        <v>307</v>
      </c>
      <c r="E110" s="263">
        <f>+'Op5'!D16</f>
        <v>5037.5</v>
      </c>
      <c r="F110" s="263"/>
      <c r="G110" s="251">
        <f t="shared" si="14"/>
        <v>5037.5</v>
      </c>
    </row>
    <row r="111" spans="2:9" hidden="1">
      <c r="B111" s="260">
        <v>395</v>
      </c>
      <c r="C111" s="258" t="str">
        <f t="shared" si="24"/>
        <v>39</v>
      </c>
      <c r="D111" s="18" t="s">
        <v>308</v>
      </c>
      <c r="E111" s="263"/>
      <c r="F111" s="263">
        <f>+'Op5'!E17</f>
        <v>5037.5</v>
      </c>
      <c r="G111" s="251">
        <f t="shared" si="14"/>
        <v>-5037.5</v>
      </c>
    </row>
    <row r="112" spans="2:9" hidden="1">
      <c r="B112" s="260"/>
      <c r="C112" s="260"/>
      <c r="D112" s="254" t="s">
        <v>355</v>
      </c>
      <c r="E112" s="263"/>
      <c r="F112" s="263"/>
      <c r="G112" s="251">
        <f t="shared" si="14"/>
        <v>0</v>
      </c>
    </row>
    <row r="113" spans="2:7" hidden="1">
      <c r="B113" s="22" t="s">
        <v>357</v>
      </c>
      <c r="C113" s="22"/>
      <c r="D113" s="18"/>
      <c r="E113" s="263"/>
      <c r="F113" s="263"/>
      <c r="G113" s="251">
        <f t="shared" si="14"/>
        <v>0</v>
      </c>
    </row>
    <row r="114" spans="2:7" hidden="1">
      <c r="B114" s="255">
        <v>93</v>
      </c>
      <c r="C114" s="258" t="str">
        <f t="shared" ref="C114:C115" si="25">+LEFT(B114,2)</f>
        <v>93</v>
      </c>
      <c r="D114" s="250" t="s">
        <v>49</v>
      </c>
      <c r="E114" s="263">
        <f>+'Op5'!D19</f>
        <v>5037.5</v>
      </c>
      <c r="F114" s="263"/>
      <c r="G114" s="251">
        <f t="shared" si="14"/>
        <v>5037.5</v>
      </c>
    </row>
    <row r="115" spans="2:7" hidden="1">
      <c r="B115" s="255">
        <v>79</v>
      </c>
      <c r="C115" s="258" t="str">
        <f t="shared" si="25"/>
        <v>79</v>
      </c>
      <c r="D115" s="250" t="s">
        <v>229</v>
      </c>
      <c r="E115" s="263"/>
      <c r="F115" s="263">
        <f>+'Op5'!E20</f>
        <v>5037.5</v>
      </c>
      <c r="G115" s="251">
        <f t="shared" si="14"/>
        <v>-5037.5</v>
      </c>
    </row>
    <row r="116" spans="2:7" hidden="1">
      <c r="D116" s="254" t="s">
        <v>316</v>
      </c>
      <c r="E116" s="263"/>
      <c r="F116" s="263"/>
      <c r="G116" s="251">
        <f t="shared" si="14"/>
        <v>0</v>
      </c>
    </row>
    <row r="117" spans="2:7">
      <c r="E117" s="263"/>
      <c r="F117" s="263"/>
      <c r="G117" s="18"/>
    </row>
    <row r="118" spans="2:7">
      <c r="E118" s="225"/>
      <c r="F118" s="225"/>
      <c r="G118" s="3"/>
    </row>
    <row r="119" spans="2:7">
      <c r="E119" s="225"/>
      <c r="F119" s="225"/>
      <c r="G119" s="3"/>
    </row>
    <row r="120" spans="2:7">
      <c r="E120" s="225"/>
      <c r="F120" s="225"/>
      <c r="G120" s="3"/>
    </row>
    <row r="121" spans="2:7">
      <c r="E121" s="225"/>
      <c r="F121" s="225"/>
      <c r="G121" s="3"/>
    </row>
    <row r="122" spans="2:7">
      <c r="E122" s="225"/>
      <c r="F122" s="225"/>
      <c r="G122" s="3"/>
    </row>
  </sheetData>
  <autoFilter ref="A2:G116" xr:uid="{869B0AF7-35A8-46B5-BAA3-839DFF5F50DF}">
    <filterColumn colId="2">
      <filters>
        <filter val="18"/>
      </filters>
    </filterColumn>
  </autoFilter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245A3-70C9-4CBC-BBD4-7E8662D5D86B}">
  <sheetPr>
    <tabColor theme="7" tint="-0.499984740745262"/>
  </sheetPr>
  <dimension ref="B1:O23"/>
  <sheetViews>
    <sheetView showGridLines="0" topLeftCell="G1" zoomScale="130" zoomScaleNormal="130" workbookViewId="0">
      <selection activeCell="L5" sqref="L5"/>
    </sheetView>
  </sheetViews>
  <sheetFormatPr baseColWidth="10" defaultRowHeight="12"/>
  <cols>
    <col min="1" max="1" width="6.1796875" style="26" customWidth="1"/>
    <col min="2" max="2" width="4.1796875" style="26" bestFit="1" customWidth="1"/>
    <col min="3" max="3" width="8.453125" style="26" customWidth="1"/>
    <col min="4" max="5" width="10.90625" style="26"/>
    <col min="6" max="6" width="1.08984375" style="26" customWidth="1"/>
    <col min="7" max="7" width="1.08984375" style="207" customWidth="1"/>
    <col min="8" max="8" width="1.08984375" style="26" customWidth="1"/>
    <col min="9" max="9" width="4.90625" style="26" bestFit="1" customWidth="1"/>
    <col min="10" max="10" width="34" style="26" customWidth="1"/>
    <col min="11" max="12" width="8.7265625" style="26" bestFit="1" customWidth="1"/>
    <col min="13" max="13" width="14.1796875" style="26" bestFit="1" customWidth="1"/>
    <col min="14" max="16384" width="10.90625" style="26"/>
  </cols>
  <sheetData>
    <row r="1" spans="2:15" ht="12.5" thickBot="1">
      <c r="B1" s="264">
        <v>10</v>
      </c>
      <c r="C1" s="264" t="s">
        <v>359</v>
      </c>
    </row>
    <row r="2" spans="2:15" ht="12.5" thickBot="1">
      <c r="B2" s="265" t="s">
        <v>29</v>
      </c>
      <c r="C2" s="265" t="s">
        <v>30</v>
      </c>
      <c r="I2" s="257" t="s">
        <v>360</v>
      </c>
      <c r="J2" s="257" t="s">
        <v>361</v>
      </c>
      <c r="K2" s="257" t="s">
        <v>29</v>
      </c>
      <c r="L2" s="257" t="s">
        <v>30</v>
      </c>
      <c r="M2" s="257" t="s">
        <v>382</v>
      </c>
    </row>
    <row r="3" spans="2:15">
      <c r="B3" s="266"/>
      <c r="C3" s="267">
        <f>+SUMIF(L.diario!$C:$C,L.Mayor!B1,L.diario!$G:$G)</f>
        <v>-33195.599999999999</v>
      </c>
      <c r="I3" s="85" t="s">
        <v>362</v>
      </c>
      <c r="J3" s="264" t="s">
        <v>383</v>
      </c>
      <c r="K3" s="256">
        <f>+SUMIF(L.diario!$C:$C,L.Mayor!I3,L.diario!$E:$E)</f>
        <v>13074.4</v>
      </c>
      <c r="L3" s="256">
        <f>+SUMIF(L.diario!$C:$C,L.Mayor!I3,L.diario!$F:$F)</f>
        <v>46270</v>
      </c>
      <c r="M3" s="256">
        <f>+K3-L3</f>
        <v>-33195.599999999999</v>
      </c>
      <c r="N3" s="276">
        <f>+'BC-2021'!I7+'BC-2021'!I8</f>
        <v>1000000</v>
      </c>
      <c r="O3" s="122">
        <f>+N3+M3</f>
        <v>966804.4</v>
      </c>
    </row>
    <row r="4" spans="2:15">
      <c r="B4" s="266"/>
      <c r="I4" s="85" t="s">
        <v>363</v>
      </c>
      <c r="J4" s="264" t="s">
        <v>384</v>
      </c>
      <c r="K4" s="256">
        <f>+SUMIF(L.diario!$C:$C,L.Mayor!I4,L.diario!$E:$E)</f>
        <v>32544.400000000001</v>
      </c>
      <c r="L4" s="256">
        <f>+SUMIF(L.diario!$C:$C,L.Mayor!I4,L.diario!$F:$F)</f>
        <v>13074.4</v>
      </c>
      <c r="M4" s="256">
        <f t="shared" ref="M4:M23" si="0">+K4-L4</f>
        <v>19470</v>
      </c>
      <c r="O4" s="122">
        <f t="shared" ref="O4:O23" si="1">+N4+M4</f>
        <v>19470</v>
      </c>
    </row>
    <row r="5" spans="2:15">
      <c r="B5" s="266"/>
      <c r="I5" s="85" t="s">
        <v>364</v>
      </c>
      <c r="J5" s="264" t="s">
        <v>385</v>
      </c>
      <c r="K5" s="256">
        <f>+SUMIF(L.diario!$C:$C,L.Mayor!I5,L.diario!$E:$E)</f>
        <v>45280</v>
      </c>
      <c r="L5" s="256">
        <f>+SUMIF(L.diario!$C:$C,L.Mayor!I5,L.diario!$F:$F)</f>
        <v>458.33333333333331</v>
      </c>
      <c r="M5" s="256">
        <f t="shared" si="0"/>
        <v>44821.666666666664</v>
      </c>
      <c r="O5" s="122">
        <f t="shared" si="1"/>
        <v>44821.666666666664</v>
      </c>
    </row>
    <row r="6" spans="2:15">
      <c r="B6" s="266"/>
      <c r="I6" s="85" t="s">
        <v>365</v>
      </c>
      <c r="J6" s="264" t="s">
        <v>232</v>
      </c>
      <c r="K6" s="256">
        <f>+SUMIF(L.diario!$C:$C,L.Mayor!I6,L.diario!$E:$E)</f>
        <v>314000</v>
      </c>
      <c r="L6" s="256">
        <f>+SUMIF(L.diario!$C:$C,L.Mayor!I6,L.diario!$F:$F)</f>
        <v>21456.666666666668</v>
      </c>
      <c r="M6" s="256">
        <f t="shared" si="0"/>
        <v>292543.33333333331</v>
      </c>
      <c r="O6" s="122">
        <f t="shared" si="1"/>
        <v>292543.33333333331</v>
      </c>
    </row>
    <row r="7" spans="2:15">
      <c r="B7" s="266"/>
      <c r="I7" s="85" t="s">
        <v>366</v>
      </c>
      <c r="J7" s="264" t="s">
        <v>386</v>
      </c>
      <c r="K7" s="256">
        <f>+SUMIF(L.diario!$C:$C,L.Mayor!I7,L.diario!$E:$E)</f>
        <v>241800</v>
      </c>
      <c r="L7" s="256">
        <f>+SUMIF(L.diario!$C:$C,L.Mayor!I7,L.diario!$F:$F)</f>
        <v>0</v>
      </c>
      <c r="M7" s="256">
        <f t="shared" si="0"/>
        <v>241800</v>
      </c>
      <c r="O7" s="122">
        <f t="shared" si="1"/>
        <v>241800</v>
      </c>
    </row>
    <row r="8" spans="2:15">
      <c r="B8" s="266"/>
      <c r="I8" s="85" t="s">
        <v>367</v>
      </c>
      <c r="J8" s="264" t="s">
        <v>387</v>
      </c>
      <c r="K8" s="256">
        <f>+SUMIF(L.diario!$C:$C,L.Mayor!I8,L.diario!$E:$E)</f>
        <v>0</v>
      </c>
      <c r="L8" s="256">
        <f>+SUMIF(L.diario!$C:$C,L.Mayor!I8,L.diario!$F:$F)</f>
        <v>5037.5</v>
      </c>
      <c r="M8" s="256">
        <f t="shared" si="0"/>
        <v>-5037.5</v>
      </c>
      <c r="O8" s="122">
        <f t="shared" si="1"/>
        <v>-5037.5</v>
      </c>
    </row>
    <row r="9" spans="2:15">
      <c r="B9" s="266"/>
      <c r="I9" s="85" t="s">
        <v>368</v>
      </c>
      <c r="J9" s="264" t="s">
        <v>388</v>
      </c>
      <c r="K9" s="256">
        <f>+SUMIF(L.diario!$C:$C,L.Mayor!I9,L.diario!$E:$E)</f>
        <v>101942.33333333334</v>
      </c>
      <c r="L9" s="256">
        <f>+SUMIF(L.diario!$C:$C,L.Mayor!I9,L.diario!$F:$F)</f>
        <v>10588.823333333334</v>
      </c>
      <c r="M9" s="256">
        <f t="shared" si="0"/>
        <v>91353.510000000009</v>
      </c>
      <c r="O9" s="122">
        <f t="shared" si="1"/>
        <v>91353.510000000009</v>
      </c>
    </row>
    <row r="10" spans="2:15">
      <c r="I10" s="85" t="s">
        <v>369</v>
      </c>
      <c r="J10" s="264" t="s">
        <v>389</v>
      </c>
      <c r="K10" s="256">
        <f>+SUMIF(L.diario!$C:$C,L.Mayor!I10,L.diario!$E:$E)</f>
        <v>0</v>
      </c>
      <c r="L10" s="256">
        <f>+SUMIF(L.diario!$C:$C,L.Mayor!I10,L.diario!$F:$F)</f>
        <v>35254.672500000001</v>
      </c>
      <c r="M10" s="256">
        <f t="shared" si="0"/>
        <v>-35254.672500000001</v>
      </c>
      <c r="O10" s="122">
        <f t="shared" si="1"/>
        <v>-35254.672500000001</v>
      </c>
    </row>
    <row r="11" spans="2:15">
      <c r="I11" s="85" t="s">
        <v>370</v>
      </c>
      <c r="J11" s="264" t="s">
        <v>390</v>
      </c>
      <c r="K11" s="256">
        <f>+SUMIF(L.diario!$C:$C,L.Mayor!I11,L.diario!$E:$E)</f>
        <v>0</v>
      </c>
      <c r="L11" s="256">
        <f>+SUMIF(L.diario!$C:$C,L.Mayor!I11,L.diario!$F:$F)</f>
        <v>370520</v>
      </c>
      <c r="M11" s="256">
        <f t="shared" si="0"/>
        <v>-370520</v>
      </c>
      <c r="O11" s="122">
        <f t="shared" si="1"/>
        <v>-370520</v>
      </c>
    </row>
    <row r="12" spans="2:15">
      <c r="I12" s="85" t="s">
        <v>371</v>
      </c>
      <c r="J12" s="264" t="s">
        <v>391</v>
      </c>
      <c r="K12" s="256">
        <f>+SUMIF(L.diario!$C:$C,L.Mayor!I12,L.diario!$E:$E)</f>
        <v>6490</v>
      </c>
      <c r="L12" s="256">
        <f>+SUMIF(L.diario!$C:$C,L.Mayor!I12,L.diario!$F:$F)</f>
        <v>298742</v>
      </c>
      <c r="M12" s="256">
        <f t="shared" si="0"/>
        <v>-292252</v>
      </c>
      <c r="O12" s="122">
        <f t="shared" si="1"/>
        <v>-292252</v>
      </c>
    </row>
    <row r="13" spans="2:15">
      <c r="I13" s="274">
        <v>50</v>
      </c>
      <c r="J13" s="275" t="s">
        <v>404</v>
      </c>
      <c r="K13" s="267"/>
      <c r="L13" s="267"/>
      <c r="M13" s="267"/>
      <c r="N13" s="276">
        <f>-+'BC-2021'!J9</f>
        <v>-1000000</v>
      </c>
      <c r="O13" s="276">
        <f t="shared" si="1"/>
        <v>-1000000</v>
      </c>
    </row>
    <row r="14" spans="2:15">
      <c r="I14" s="85" t="s">
        <v>372</v>
      </c>
      <c r="J14" s="264" t="s">
        <v>392</v>
      </c>
      <c r="K14" s="256">
        <f>+SUMIF(L.diario!$C:$C,L.Mayor!I14,L.diario!$E:$E)</f>
        <v>314000</v>
      </c>
      <c r="L14" s="256">
        <f>+SUMIF(L.diario!$C:$C,L.Mayor!I14,L.diario!$F:$F)</f>
        <v>0</v>
      </c>
      <c r="M14" s="256">
        <f t="shared" si="0"/>
        <v>314000</v>
      </c>
      <c r="O14" s="122">
        <f t="shared" si="1"/>
        <v>314000</v>
      </c>
    </row>
    <row r="15" spans="2:15">
      <c r="I15" s="85" t="s">
        <v>373</v>
      </c>
      <c r="J15" s="264" t="s">
        <v>393</v>
      </c>
      <c r="K15" s="256">
        <f>+SUMIF(L.diario!$C:$C,L.Mayor!I15,L.diario!$E:$E)</f>
        <v>0</v>
      </c>
      <c r="L15" s="256">
        <f>+SUMIF(L.diario!$C:$C,L.Mayor!I15,L.diario!$F:$F)</f>
        <v>314000</v>
      </c>
      <c r="M15" s="256">
        <f t="shared" si="0"/>
        <v>-314000</v>
      </c>
      <c r="O15" s="122">
        <f t="shared" si="1"/>
        <v>-314000</v>
      </c>
    </row>
    <row r="16" spans="2:15">
      <c r="I16" s="85" t="s">
        <v>374</v>
      </c>
      <c r="J16" s="264" t="s">
        <v>394</v>
      </c>
      <c r="K16" s="256">
        <f>+SUMIF(L.diario!$C:$C,L.Mayor!I16,L.diario!$E:$E)</f>
        <v>40879.095833333333</v>
      </c>
      <c r="L16" s="256">
        <f>+SUMIF(L.diario!$C:$C,L.Mayor!I16,L.diario!$F:$F)</f>
        <v>0</v>
      </c>
      <c r="M16" s="256">
        <f t="shared" si="0"/>
        <v>40879.095833333333</v>
      </c>
      <c r="O16" s="122">
        <f t="shared" si="1"/>
        <v>40879.095833333333</v>
      </c>
    </row>
    <row r="17" spans="9:15">
      <c r="I17" s="85" t="s">
        <v>375</v>
      </c>
      <c r="J17" s="264" t="s">
        <v>395</v>
      </c>
      <c r="K17" s="256">
        <f>+SUMIF(L.diario!$C:$C,L.Mayor!I17,L.diario!$E:$E)</f>
        <v>6478</v>
      </c>
      <c r="L17" s="256">
        <f>+SUMIF(L.diario!$C:$C,L.Mayor!I17,L.diario!$F:$F)</f>
        <v>0</v>
      </c>
      <c r="M17" s="256">
        <f t="shared" si="0"/>
        <v>6478</v>
      </c>
      <c r="O17" s="122">
        <f t="shared" si="1"/>
        <v>6478</v>
      </c>
    </row>
    <row r="18" spans="9:15">
      <c r="I18" s="85" t="s">
        <v>376</v>
      </c>
      <c r="J18" s="264" t="s">
        <v>396</v>
      </c>
      <c r="K18" s="256">
        <f>+SUMIF(L.diario!$C:$C,L.Mayor!I18,L.diario!$E:$E)</f>
        <v>5037.5</v>
      </c>
      <c r="L18" s="256">
        <f>+SUMIF(L.diario!$C:$C,L.Mayor!I18,L.diario!$F:$F)</f>
        <v>0</v>
      </c>
      <c r="M18" s="256">
        <f t="shared" si="0"/>
        <v>5037.5</v>
      </c>
      <c r="O18" s="122">
        <f t="shared" si="1"/>
        <v>5037.5</v>
      </c>
    </row>
    <row r="19" spans="9:15">
      <c r="I19" s="85" t="s">
        <v>377</v>
      </c>
      <c r="J19" s="264" t="s">
        <v>397</v>
      </c>
      <c r="K19" s="256">
        <f>+SUMIF(L.diario!$C:$C,L.Mayor!I19,L.diario!$E:$E)</f>
        <v>21456.666666666668</v>
      </c>
      <c r="L19" s="256">
        <f>+SUMIF(L.diario!$C:$C,L.Mayor!I19,L.diario!$F:$F)</f>
        <v>0</v>
      </c>
      <c r="M19" s="256">
        <f t="shared" si="0"/>
        <v>21456.666666666668</v>
      </c>
      <c r="O19" s="122">
        <f t="shared" si="1"/>
        <v>21456.666666666668</v>
      </c>
    </row>
    <row r="20" spans="9:15">
      <c r="I20" s="85" t="s">
        <v>378</v>
      </c>
      <c r="J20" s="264" t="s">
        <v>398</v>
      </c>
      <c r="K20" s="256">
        <f>+SUMIF(L.diario!$C:$C,L.Mayor!I20,L.diario!$E:$E)</f>
        <v>0</v>
      </c>
      <c r="L20" s="256">
        <f>+SUMIF(L.diario!$C:$C,L.Mayor!I20,L.diario!$F:$F)</f>
        <v>27580</v>
      </c>
      <c r="M20" s="256">
        <f t="shared" si="0"/>
        <v>-27580</v>
      </c>
      <c r="O20" s="122">
        <f t="shared" si="1"/>
        <v>-27580</v>
      </c>
    </row>
    <row r="21" spans="9:15">
      <c r="I21" s="85" t="s">
        <v>379</v>
      </c>
      <c r="J21" s="264" t="s">
        <v>399</v>
      </c>
      <c r="K21" s="256">
        <f>+SUMIF(L.diario!$C:$C,L.Mayor!I21,L.diario!$E:$E)</f>
        <v>0</v>
      </c>
      <c r="L21" s="256">
        <f>+SUMIF(L.diario!$C:$C,L.Mayor!I21,L.diario!$F:$F)</f>
        <v>52394.595833333333</v>
      </c>
      <c r="M21" s="256">
        <f t="shared" si="0"/>
        <v>-52394.595833333333</v>
      </c>
      <c r="O21" s="122">
        <f t="shared" si="1"/>
        <v>-52394.595833333333</v>
      </c>
    </row>
    <row r="22" spans="9:15">
      <c r="I22" s="85" t="s">
        <v>380</v>
      </c>
      <c r="J22" s="264" t="s">
        <v>400</v>
      </c>
      <c r="K22" s="256">
        <f>+SUMIF(L.diario!$C:$C,L.Mayor!I22,L.diario!$E:$E)</f>
        <v>17083.333333333336</v>
      </c>
      <c r="L22" s="256">
        <f>+SUMIF(L.diario!$C:$C,L.Mayor!I22,L.diario!$F:$F)</f>
        <v>0</v>
      </c>
      <c r="M22" s="256">
        <f t="shared" si="0"/>
        <v>17083.333333333336</v>
      </c>
      <c r="O22" s="122">
        <f t="shared" si="1"/>
        <v>17083.333333333336</v>
      </c>
    </row>
    <row r="23" spans="9:15">
      <c r="I23" s="85" t="s">
        <v>381</v>
      </c>
      <c r="J23" s="264" t="s">
        <v>401</v>
      </c>
      <c r="K23" s="256">
        <f>+SUMIF(L.diario!$C:$C,L.Mayor!I23,L.diario!$E:$E)</f>
        <v>35311.262499999997</v>
      </c>
      <c r="L23" s="256">
        <f>+SUMIF(L.diario!$C:$C,L.Mayor!I23,L.diario!$F:$F)</f>
        <v>0</v>
      </c>
      <c r="M23" s="256">
        <f t="shared" si="0"/>
        <v>35311.262499999997</v>
      </c>
      <c r="O23" s="122">
        <f t="shared" si="1"/>
        <v>35311.262499999997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6A454-45F1-4A7C-B142-907884FBA8DD}">
  <sheetPr filterMode="1">
    <tabColor theme="7" tint="-0.499984740745262"/>
  </sheetPr>
  <dimension ref="A1:R30"/>
  <sheetViews>
    <sheetView showGridLines="0" zoomScale="130" zoomScaleNormal="130" workbookViewId="0">
      <pane xSplit="4" ySplit="6" topLeftCell="P7" activePane="bottomRight" state="frozen"/>
      <selection activeCell="H2" sqref="H2"/>
      <selection pane="topRight" activeCell="H2" sqref="H2"/>
      <selection pane="bottomLeft" activeCell="H2" sqref="H2"/>
      <selection pane="bottomRight" activeCell="B9" sqref="B9"/>
    </sheetView>
  </sheetViews>
  <sheetFormatPr baseColWidth="10" defaultRowHeight="12" outlineLevelCol="1"/>
  <cols>
    <col min="1" max="1" width="6.81640625" style="3" customWidth="1"/>
    <col min="2" max="2" width="28.90625" style="3" customWidth="1"/>
    <col min="3" max="4" width="10.7265625" style="3" bestFit="1" customWidth="1"/>
    <col min="5" max="6" width="10.7265625" style="3" hidden="1" customWidth="1" outlineLevel="1"/>
    <col min="7" max="7" width="10.6328125" style="102" hidden="1" customWidth="1" outlineLevel="1"/>
    <col min="8" max="9" width="10.7265625" style="3" hidden="1" customWidth="1" outlineLevel="1"/>
    <col min="10" max="15" width="0" style="3" hidden="1" customWidth="1" outlineLevel="1"/>
    <col min="16" max="16" width="10.90625" style="3" collapsed="1"/>
    <col min="17" max="17" width="24.54296875" style="3" bestFit="1" customWidth="1"/>
    <col min="18" max="16384" width="10.90625" style="3"/>
  </cols>
  <sheetData>
    <row r="1" spans="1:18">
      <c r="A1" s="36" t="s">
        <v>127</v>
      </c>
      <c r="B1" s="26"/>
      <c r="C1" s="20"/>
      <c r="D1" s="20"/>
      <c r="E1" s="20"/>
      <c r="F1" s="20"/>
      <c r="G1" s="267"/>
      <c r="H1" s="20"/>
      <c r="I1" s="20"/>
      <c r="J1" s="20"/>
      <c r="K1" s="20"/>
      <c r="L1" s="20"/>
      <c r="M1" s="20"/>
      <c r="N1" s="20"/>
      <c r="O1" s="20"/>
    </row>
    <row r="2" spans="1:18">
      <c r="A2" s="36" t="s">
        <v>402</v>
      </c>
      <c r="B2" s="26"/>
      <c r="C2" s="20"/>
      <c r="D2" s="20"/>
      <c r="E2" s="20"/>
      <c r="F2" s="20"/>
      <c r="G2" s="267"/>
      <c r="H2" s="20"/>
      <c r="I2" s="20"/>
      <c r="J2" s="20"/>
      <c r="K2" s="20"/>
      <c r="L2" s="20"/>
      <c r="M2" s="20"/>
      <c r="N2" s="20"/>
      <c r="O2" s="20"/>
    </row>
    <row r="3" spans="1:18">
      <c r="A3" s="36" t="s">
        <v>403</v>
      </c>
      <c r="B3" s="26"/>
      <c r="C3" s="20"/>
      <c r="D3" s="20"/>
      <c r="E3" s="20"/>
      <c r="F3" s="20"/>
      <c r="G3" s="267"/>
      <c r="H3" s="20"/>
      <c r="I3" s="20"/>
      <c r="J3" s="20"/>
      <c r="K3" s="20"/>
      <c r="L3" s="20"/>
      <c r="M3" s="20"/>
      <c r="N3" s="20"/>
      <c r="O3" s="20"/>
    </row>
    <row r="4" spans="1:18" ht="12.5" thickBot="1">
      <c r="A4" s="26"/>
      <c r="B4" s="26"/>
      <c r="C4" s="20"/>
      <c r="D4" s="20"/>
      <c r="E4" s="20"/>
      <c r="F4" s="20"/>
      <c r="G4" s="267"/>
      <c r="H4" s="20"/>
      <c r="I4" s="20"/>
      <c r="J4" s="20"/>
      <c r="K4" s="20"/>
      <c r="L4" s="20"/>
      <c r="M4" s="20"/>
      <c r="N4" s="20"/>
      <c r="O4" s="20"/>
    </row>
    <row r="5" spans="1:18">
      <c r="A5" s="71" t="s">
        <v>405</v>
      </c>
      <c r="B5" s="72"/>
      <c r="C5" s="153" t="s">
        <v>52</v>
      </c>
      <c r="D5" s="153"/>
      <c r="E5" s="153" t="s">
        <v>57</v>
      </c>
      <c r="F5" s="153"/>
      <c r="G5" s="272"/>
      <c r="H5" s="153" t="s">
        <v>58</v>
      </c>
      <c r="I5" s="153"/>
      <c r="J5" s="153" t="s">
        <v>406</v>
      </c>
      <c r="K5" s="153"/>
      <c r="L5" s="153" t="s">
        <v>407</v>
      </c>
      <c r="M5" s="153"/>
      <c r="N5" s="153" t="s">
        <v>408</v>
      </c>
      <c r="O5" s="154"/>
    </row>
    <row r="6" spans="1:18" ht="24">
      <c r="A6" s="268" t="s">
        <v>65</v>
      </c>
      <c r="B6" s="269" t="s">
        <v>66</v>
      </c>
      <c r="C6" s="270" t="s">
        <v>67</v>
      </c>
      <c r="D6" s="270" t="s">
        <v>68</v>
      </c>
      <c r="E6" s="270" t="s">
        <v>29</v>
      </c>
      <c r="F6" s="270" t="s">
        <v>30</v>
      </c>
      <c r="G6" s="273"/>
      <c r="H6" s="270" t="s">
        <v>67</v>
      </c>
      <c r="I6" s="270" t="s">
        <v>68</v>
      </c>
      <c r="J6" s="270" t="s">
        <v>69</v>
      </c>
      <c r="K6" s="270" t="s">
        <v>409</v>
      </c>
      <c r="L6" s="270" t="s">
        <v>71</v>
      </c>
      <c r="M6" s="270" t="s">
        <v>59</v>
      </c>
      <c r="N6" s="270" t="s">
        <v>71</v>
      </c>
      <c r="O6" s="271" t="s">
        <v>72</v>
      </c>
      <c r="P6" s="270" t="s">
        <v>410</v>
      </c>
      <c r="Q6" s="270" t="s">
        <v>416</v>
      </c>
    </row>
    <row r="7" spans="1:18" hidden="1">
      <c r="A7" s="85" t="s">
        <v>362</v>
      </c>
      <c r="B7" s="264" t="s">
        <v>383</v>
      </c>
      <c r="C7" s="7">
        <f>+SUM('BC-2021'!I7:I8)</f>
        <v>1000000</v>
      </c>
      <c r="E7" s="7">
        <f>+L.Mayor!K3</f>
        <v>13074.4</v>
      </c>
      <c r="F7" s="7">
        <f>+L.Mayor!L3</f>
        <v>46270</v>
      </c>
      <c r="G7" s="228">
        <f>+C7+E7-D7-F7</f>
        <v>966804.4</v>
      </c>
      <c r="H7" s="7">
        <f>+IF(G7&gt;=0,G7,"")</f>
        <v>966804.4</v>
      </c>
      <c r="I7" s="7" t="str">
        <f>+IF(G7&lt;0,G7,"")</f>
        <v/>
      </c>
      <c r="J7" s="7">
        <f>+H7</f>
        <v>966804.4</v>
      </c>
      <c r="P7" s="7">
        <f>+G7</f>
        <v>966804.4</v>
      </c>
      <c r="Q7" s="264" t="s">
        <v>383</v>
      </c>
      <c r="R7" s="3" t="s">
        <v>418</v>
      </c>
    </row>
    <row r="8" spans="1:18" hidden="1">
      <c r="A8" s="85" t="s">
        <v>363</v>
      </c>
      <c r="B8" s="264" t="s">
        <v>411</v>
      </c>
      <c r="E8" s="7">
        <f>+L.Mayor!K4</f>
        <v>32544.400000000001</v>
      </c>
      <c r="F8" s="7">
        <f>+L.Mayor!L4</f>
        <v>13074.4</v>
      </c>
      <c r="G8" s="228">
        <f t="shared" ref="G8:G27" si="0">+C8+E8-D8-F8</f>
        <v>19470</v>
      </c>
      <c r="H8" s="7">
        <f t="shared" ref="H8:H27" si="1">+IF(G8&gt;=0,G8,"")</f>
        <v>19470</v>
      </c>
      <c r="I8" s="7" t="str">
        <f t="shared" ref="I8:I27" si="2">+IF(G8&lt;0,G8,"")</f>
        <v/>
      </c>
      <c r="J8" s="7">
        <f>+H8</f>
        <v>19470</v>
      </c>
      <c r="P8" s="7">
        <f t="shared" ref="P8:P27" si="3">+G8</f>
        <v>19470</v>
      </c>
      <c r="Q8" s="264" t="s">
        <v>411</v>
      </c>
      <c r="R8" s="3" t="s">
        <v>418</v>
      </c>
    </row>
    <row r="9" spans="1:18">
      <c r="A9" s="274" t="s">
        <v>364</v>
      </c>
      <c r="B9" s="275" t="s">
        <v>385</v>
      </c>
      <c r="C9" s="102"/>
      <c r="D9" s="102"/>
      <c r="E9" s="228">
        <f>+L.Mayor!K5</f>
        <v>45280</v>
      </c>
      <c r="F9" s="228">
        <f>+L.Mayor!L5</f>
        <v>458.33333333333331</v>
      </c>
      <c r="G9" s="228">
        <f t="shared" si="0"/>
        <v>44821.666666666664</v>
      </c>
      <c r="H9" s="228">
        <f t="shared" si="1"/>
        <v>44821.666666666664</v>
      </c>
      <c r="I9" s="228" t="str">
        <f t="shared" si="2"/>
        <v/>
      </c>
      <c r="J9" s="228">
        <f>+H9</f>
        <v>44821.666666666664</v>
      </c>
      <c r="K9" s="102"/>
      <c r="L9" s="102"/>
      <c r="M9" s="102"/>
      <c r="N9" s="102"/>
      <c r="O9" s="102"/>
      <c r="P9" s="228">
        <f t="shared" si="3"/>
        <v>44821.666666666664</v>
      </c>
      <c r="Q9" s="102" t="s">
        <v>412</v>
      </c>
      <c r="R9" s="3" t="s">
        <v>418</v>
      </c>
    </row>
    <row r="10" spans="1:18" hidden="1">
      <c r="A10" s="274" t="s">
        <v>365</v>
      </c>
      <c r="B10" s="275" t="s">
        <v>232</v>
      </c>
      <c r="C10" s="102"/>
      <c r="D10" s="102"/>
      <c r="E10" s="228">
        <f>+L.Mayor!K6</f>
        <v>314000</v>
      </c>
      <c r="F10" s="228">
        <f>+L.Mayor!L6</f>
        <v>21456.666666666668</v>
      </c>
      <c r="G10" s="228">
        <f t="shared" si="0"/>
        <v>292543.33333333331</v>
      </c>
      <c r="H10" s="228">
        <f t="shared" si="1"/>
        <v>292543.33333333331</v>
      </c>
      <c r="I10" s="228" t="str">
        <f t="shared" si="2"/>
        <v/>
      </c>
      <c r="J10" s="228">
        <f>+H10</f>
        <v>292543.33333333331</v>
      </c>
      <c r="K10" s="102"/>
      <c r="L10" s="102"/>
      <c r="M10" s="102"/>
      <c r="N10" s="102"/>
      <c r="O10" s="102"/>
      <c r="P10" s="228">
        <f t="shared" si="3"/>
        <v>292543.33333333331</v>
      </c>
      <c r="Q10" s="102" t="s">
        <v>413</v>
      </c>
      <c r="R10" s="3" t="s">
        <v>418</v>
      </c>
    </row>
    <row r="11" spans="1:18" hidden="1">
      <c r="A11" s="85" t="s">
        <v>366</v>
      </c>
      <c r="B11" s="264" t="s">
        <v>386</v>
      </c>
      <c r="E11" s="7">
        <f>+L.Mayor!K7</f>
        <v>241800</v>
      </c>
      <c r="F11" s="7">
        <f>+L.Mayor!L7</f>
        <v>0</v>
      </c>
      <c r="G11" s="228">
        <f t="shared" si="0"/>
        <v>241800</v>
      </c>
      <c r="H11" s="7">
        <f t="shared" si="1"/>
        <v>241800</v>
      </c>
      <c r="I11" s="7" t="str">
        <f t="shared" si="2"/>
        <v/>
      </c>
      <c r="J11" s="7">
        <f>+H11</f>
        <v>241800</v>
      </c>
      <c r="P11" s="7">
        <f t="shared" si="3"/>
        <v>241800</v>
      </c>
      <c r="Q11" s="264" t="s">
        <v>386</v>
      </c>
      <c r="R11" s="3" t="s">
        <v>418</v>
      </c>
    </row>
    <row r="12" spans="1:18" hidden="1">
      <c r="A12" s="85" t="s">
        <v>367</v>
      </c>
      <c r="B12" s="264" t="s">
        <v>387</v>
      </c>
      <c r="E12" s="7">
        <f>+L.Mayor!K8</f>
        <v>0</v>
      </c>
      <c r="F12" s="7">
        <f>+L.Mayor!L8</f>
        <v>5037.5</v>
      </c>
      <c r="G12" s="228">
        <f t="shared" si="0"/>
        <v>-5037.5</v>
      </c>
      <c r="H12" s="7" t="str">
        <f t="shared" si="1"/>
        <v/>
      </c>
      <c r="I12" s="7">
        <f>+-(IF(G12&lt;0,G12,""))</f>
        <v>5037.5</v>
      </c>
      <c r="J12" s="7"/>
      <c r="K12" s="7">
        <f>+I12</f>
        <v>5037.5</v>
      </c>
      <c r="P12" s="7">
        <f t="shared" si="3"/>
        <v>-5037.5</v>
      </c>
      <c r="Q12" s="264" t="s">
        <v>386</v>
      </c>
      <c r="R12" s="3" t="s">
        <v>418</v>
      </c>
    </row>
    <row r="13" spans="1:18" hidden="1">
      <c r="A13" s="274" t="s">
        <v>368</v>
      </c>
      <c r="B13" s="275" t="s">
        <v>388</v>
      </c>
      <c r="C13" s="102"/>
      <c r="D13" s="102"/>
      <c r="E13" s="228">
        <f>+L.Mayor!K9</f>
        <v>101942.33333333334</v>
      </c>
      <c r="F13" s="228">
        <f>+L.Mayor!L9</f>
        <v>10588.823333333334</v>
      </c>
      <c r="G13" s="228">
        <f t="shared" si="0"/>
        <v>91353.510000000009</v>
      </c>
      <c r="H13" s="228">
        <f t="shared" si="1"/>
        <v>91353.510000000009</v>
      </c>
      <c r="I13" s="228" t="str">
        <f t="shared" si="2"/>
        <v/>
      </c>
      <c r="J13" s="228">
        <f>+H13</f>
        <v>91353.510000000009</v>
      </c>
      <c r="K13" s="102"/>
      <c r="L13" s="102"/>
      <c r="M13" s="102"/>
      <c r="N13" s="102"/>
      <c r="O13" s="102"/>
      <c r="P13" s="228">
        <f t="shared" si="3"/>
        <v>91353.510000000009</v>
      </c>
      <c r="Q13" s="102" t="s">
        <v>239</v>
      </c>
      <c r="R13" s="3" t="s">
        <v>418</v>
      </c>
    </row>
    <row r="14" spans="1:18" hidden="1">
      <c r="A14" s="274" t="s">
        <v>369</v>
      </c>
      <c r="B14" s="275" t="s">
        <v>389</v>
      </c>
      <c r="C14" s="102"/>
      <c r="D14" s="102"/>
      <c r="E14" s="228">
        <f>+L.Mayor!K10</f>
        <v>0</v>
      </c>
      <c r="F14" s="228">
        <f>+L.Mayor!L10</f>
        <v>35254.672500000001</v>
      </c>
      <c r="G14" s="228">
        <f t="shared" si="0"/>
        <v>-35254.672500000001</v>
      </c>
      <c r="H14" s="228" t="str">
        <f t="shared" si="1"/>
        <v/>
      </c>
      <c r="I14" s="228">
        <f t="shared" ref="I14:I19" si="4">+-(IF(G14&lt;0,G14,""))</f>
        <v>35254.672500000001</v>
      </c>
      <c r="J14" s="102"/>
      <c r="K14" s="228">
        <f>+I14</f>
        <v>35254.672500000001</v>
      </c>
      <c r="L14" s="102"/>
      <c r="M14" s="102"/>
      <c r="N14" s="102"/>
      <c r="O14" s="102"/>
      <c r="P14" s="228">
        <f t="shared" si="3"/>
        <v>-35254.672500000001</v>
      </c>
      <c r="Q14" s="102" t="s">
        <v>239</v>
      </c>
      <c r="R14" s="3" t="s">
        <v>418</v>
      </c>
    </row>
    <row r="15" spans="1:18" hidden="1">
      <c r="A15" s="85" t="s">
        <v>370</v>
      </c>
      <c r="B15" s="264" t="s">
        <v>390</v>
      </c>
      <c r="E15" s="7">
        <f>+L.Mayor!K11</f>
        <v>0</v>
      </c>
      <c r="F15" s="7">
        <f>+L.Mayor!L11</f>
        <v>370520</v>
      </c>
      <c r="G15" s="228">
        <f t="shared" si="0"/>
        <v>-370520</v>
      </c>
      <c r="H15" s="7" t="str">
        <f t="shared" si="1"/>
        <v/>
      </c>
      <c r="I15" s="7">
        <f t="shared" si="4"/>
        <v>370520</v>
      </c>
      <c r="K15" s="7">
        <f t="shared" ref="K15:K17" si="5">+I15</f>
        <v>370520</v>
      </c>
      <c r="P15" s="7">
        <f t="shared" si="3"/>
        <v>-370520</v>
      </c>
      <c r="Q15" s="264" t="s">
        <v>414</v>
      </c>
      <c r="R15" s="3" t="s">
        <v>418</v>
      </c>
    </row>
    <row r="16" spans="1:18" hidden="1">
      <c r="A16" s="274" t="s">
        <v>371</v>
      </c>
      <c r="B16" s="275" t="s">
        <v>391</v>
      </c>
      <c r="C16" s="102"/>
      <c r="D16" s="102"/>
      <c r="E16" s="228">
        <f>+L.Mayor!K12</f>
        <v>6490</v>
      </c>
      <c r="F16" s="228">
        <f>+L.Mayor!L12</f>
        <v>298742</v>
      </c>
      <c r="G16" s="228">
        <f t="shared" si="0"/>
        <v>-292252</v>
      </c>
      <c r="H16" s="228" t="str">
        <f t="shared" si="1"/>
        <v/>
      </c>
      <c r="I16" s="228">
        <f t="shared" si="4"/>
        <v>292252</v>
      </c>
      <c r="J16" s="102"/>
      <c r="K16" s="228">
        <f t="shared" si="5"/>
        <v>292252</v>
      </c>
      <c r="L16" s="102"/>
      <c r="M16" s="102"/>
      <c r="N16" s="102"/>
      <c r="O16" s="102"/>
      <c r="P16" s="228">
        <f t="shared" si="3"/>
        <v>-292252</v>
      </c>
      <c r="Q16" s="102" t="s">
        <v>239</v>
      </c>
      <c r="R16" s="3" t="s">
        <v>418</v>
      </c>
    </row>
    <row r="17" spans="1:18" hidden="1">
      <c r="A17" s="85">
        <v>50</v>
      </c>
      <c r="B17" s="264" t="s">
        <v>404</v>
      </c>
      <c r="D17" s="7">
        <f>+'BC-2021'!J9</f>
        <v>1000000</v>
      </c>
      <c r="G17" s="228">
        <f t="shared" si="0"/>
        <v>-1000000</v>
      </c>
      <c r="H17" s="7" t="str">
        <f t="shared" si="1"/>
        <v/>
      </c>
      <c r="I17" s="7">
        <f t="shared" si="4"/>
        <v>1000000</v>
      </c>
      <c r="K17" s="7">
        <f t="shared" si="5"/>
        <v>1000000</v>
      </c>
      <c r="P17" s="7">
        <f t="shared" si="3"/>
        <v>-1000000</v>
      </c>
      <c r="Q17" s="264" t="s">
        <v>404</v>
      </c>
      <c r="R17" s="3" t="s">
        <v>418</v>
      </c>
    </row>
    <row r="18" spans="1:18" hidden="1">
      <c r="A18" s="85" t="s">
        <v>372</v>
      </c>
      <c r="B18" s="264" t="s">
        <v>392</v>
      </c>
      <c r="E18" s="7">
        <f>+L.Mayor!K14</f>
        <v>314000</v>
      </c>
      <c r="F18" s="7">
        <f>+L.Mayor!L14</f>
        <v>0</v>
      </c>
      <c r="G18" s="228">
        <f t="shared" si="0"/>
        <v>314000</v>
      </c>
      <c r="H18" s="7">
        <f t="shared" si="1"/>
        <v>314000</v>
      </c>
      <c r="I18" s="7" t="str">
        <f t="shared" si="2"/>
        <v/>
      </c>
      <c r="L18" s="7">
        <f>+H18</f>
        <v>314000</v>
      </c>
      <c r="P18" s="7">
        <f t="shared" si="3"/>
        <v>314000</v>
      </c>
    </row>
    <row r="19" spans="1:18" hidden="1">
      <c r="A19" s="85" t="s">
        <v>373</v>
      </c>
      <c r="B19" s="264" t="s">
        <v>393</v>
      </c>
      <c r="E19" s="7">
        <f>+L.Mayor!K15</f>
        <v>0</v>
      </c>
      <c r="F19" s="7">
        <f>+L.Mayor!L15</f>
        <v>314000</v>
      </c>
      <c r="G19" s="228">
        <f t="shared" si="0"/>
        <v>-314000</v>
      </c>
      <c r="H19" s="7" t="str">
        <f t="shared" si="1"/>
        <v/>
      </c>
      <c r="I19" s="7">
        <f t="shared" si="4"/>
        <v>314000</v>
      </c>
      <c r="L19" s="7" t="str">
        <f t="shared" ref="L19:L23" si="6">+H19</f>
        <v/>
      </c>
      <c r="M19" s="7">
        <f>+I19</f>
        <v>314000</v>
      </c>
      <c r="P19" s="7">
        <f t="shared" si="3"/>
        <v>-314000</v>
      </c>
    </row>
    <row r="20" spans="1:18" hidden="1">
      <c r="A20" s="85" t="s">
        <v>374</v>
      </c>
      <c r="B20" s="264" t="s">
        <v>394</v>
      </c>
      <c r="E20" s="7">
        <f>+L.Mayor!K16</f>
        <v>40879.095833333333</v>
      </c>
      <c r="F20" s="7">
        <f>+L.Mayor!L16</f>
        <v>0</v>
      </c>
      <c r="G20" s="228">
        <f t="shared" si="0"/>
        <v>40879.095833333333</v>
      </c>
      <c r="H20" s="7">
        <f t="shared" si="1"/>
        <v>40879.095833333333</v>
      </c>
      <c r="I20" s="7" t="str">
        <f t="shared" si="2"/>
        <v/>
      </c>
      <c r="L20" s="7">
        <f t="shared" si="6"/>
        <v>40879.095833333333</v>
      </c>
      <c r="P20" s="7">
        <f t="shared" si="3"/>
        <v>40879.095833333333</v>
      </c>
    </row>
    <row r="21" spans="1:18" hidden="1">
      <c r="A21" s="85" t="s">
        <v>375</v>
      </c>
      <c r="B21" s="264" t="s">
        <v>395</v>
      </c>
      <c r="E21" s="7">
        <f>+L.Mayor!K17</f>
        <v>6478</v>
      </c>
      <c r="F21" s="7">
        <f>+L.Mayor!L17</f>
        <v>0</v>
      </c>
      <c r="G21" s="228">
        <f t="shared" si="0"/>
        <v>6478</v>
      </c>
      <c r="H21" s="7">
        <f t="shared" si="1"/>
        <v>6478</v>
      </c>
      <c r="I21" s="7" t="str">
        <f t="shared" si="2"/>
        <v/>
      </c>
      <c r="L21" s="7">
        <f t="shared" si="6"/>
        <v>6478</v>
      </c>
      <c r="P21" s="7">
        <f t="shared" si="3"/>
        <v>6478</v>
      </c>
    </row>
    <row r="22" spans="1:18" hidden="1">
      <c r="A22" s="85" t="s">
        <v>376</v>
      </c>
      <c r="B22" s="264" t="s">
        <v>396</v>
      </c>
      <c r="E22" s="7">
        <f>+L.Mayor!K18</f>
        <v>5037.5</v>
      </c>
      <c r="F22" s="7">
        <f>+L.Mayor!L18</f>
        <v>0</v>
      </c>
      <c r="G22" s="228">
        <f t="shared" si="0"/>
        <v>5037.5</v>
      </c>
      <c r="H22" s="7">
        <f t="shared" si="1"/>
        <v>5037.5</v>
      </c>
      <c r="I22" s="7" t="str">
        <f t="shared" si="2"/>
        <v/>
      </c>
      <c r="L22" s="7">
        <f t="shared" si="6"/>
        <v>5037.5</v>
      </c>
      <c r="P22" s="7">
        <f t="shared" si="3"/>
        <v>5037.5</v>
      </c>
    </row>
    <row r="23" spans="1:18" hidden="1">
      <c r="A23" s="274" t="s">
        <v>377</v>
      </c>
      <c r="B23" s="275" t="s">
        <v>397</v>
      </c>
      <c r="C23" s="102"/>
      <c r="D23" s="102"/>
      <c r="E23" s="228">
        <f>+L.Mayor!K19</f>
        <v>21456.666666666668</v>
      </c>
      <c r="F23" s="228">
        <f>+L.Mayor!L19</f>
        <v>0</v>
      </c>
      <c r="G23" s="228">
        <f t="shared" si="0"/>
        <v>21456.666666666668</v>
      </c>
      <c r="H23" s="228">
        <f t="shared" si="1"/>
        <v>21456.666666666668</v>
      </c>
      <c r="I23" s="228" t="str">
        <f t="shared" si="2"/>
        <v/>
      </c>
      <c r="J23" s="102"/>
      <c r="K23" s="102"/>
      <c r="L23" s="228">
        <f t="shared" si="6"/>
        <v>21456.666666666668</v>
      </c>
      <c r="M23" s="102"/>
      <c r="N23" s="228">
        <f>+H23</f>
        <v>21456.666666666668</v>
      </c>
      <c r="O23" s="102"/>
      <c r="P23" s="7">
        <f t="shared" si="3"/>
        <v>21456.666666666668</v>
      </c>
      <c r="Q23" s="3" t="s">
        <v>397</v>
      </c>
      <c r="R23" s="3" t="s">
        <v>419</v>
      </c>
    </row>
    <row r="24" spans="1:18" hidden="1">
      <c r="A24" s="85" t="s">
        <v>378</v>
      </c>
      <c r="B24" s="264" t="s">
        <v>398</v>
      </c>
      <c r="E24" s="7">
        <f>+L.Mayor!K20</f>
        <v>0</v>
      </c>
      <c r="F24" s="7">
        <f>+L.Mayor!L20</f>
        <v>27580</v>
      </c>
      <c r="G24" s="228">
        <f t="shared" si="0"/>
        <v>-27580</v>
      </c>
      <c r="H24" s="7" t="str">
        <f t="shared" si="1"/>
        <v/>
      </c>
      <c r="I24" s="7">
        <f t="shared" ref="I24:I25" si="7">+-(IF(G24&lt;0,G24,""))</f>
        <v>27580</v>
      </c>
      <c r="M24" s="7">
        <f>+I24</f>
        <v>27580</v>
      </c>
      <c r="O24" s="7">
        <f>+I24</f>
        <v>27580</v>
      </c>
      <c r="P24" s="7">
        <f t="shared" si="3"/>
        <v>-27580</v>
      </c>
      <c r="Q24" s="3" t="s">
        <v>415</v>
      </c>
      <c r="R24" s="3" t="s">
        <v>419</v>
      </c>
    </row>
    <row r="25" spans="1:18" hidden="1">
      <c r="A25" s="274" t="s">
        <v>379</v>
      </c>
      <c r="B25" s="275" t="s">
        <v>399</v>
      </c>
      <c r="C25" s="102"/>
      <c r="D25" s="102"/>
      <c r="E25" s="228">
        <f>+L.Mayor!K21</f>
        <v>0</v>
      </c>
      <c r="F25" s="228">
        <f>+L.Mayor!L21</f>
        <v>52394.595833333333</v>
      </c>
      <c r="G25" s="228">
        <f t="shared" si="0"/>
        <v>-52394.595833333333</v>
      </c>
      <c r="H25" s="228" t="str">
        <f t="shared" si="1"/>
        <v/>
      </c>
      <c r="I25" s="228">
        <f t="shared" si="7"/>
        <v>52394.595833333333</v>
      </c>
      <c r="J25" s="102"/>
      <c r="K25" s="102"/>
      <c r="L25" s="102"/>
      <c r="M25" s="102"/>
      <c r="N25" s="102"/>
      <c r="O25" s="102"/>
      <c r="P25" s="7">
        <f t="shared" si="3"/>
        <v>-52394.595833333333</v>
      </c>
    </row>
    <row r="26" spans="1:18" hidden="1">
      <c r="A26" s="85" t="s">
        <v>380</v>
      </c>
      <c r="B26" s="264" t="s">
        <v>400</v>
      </c>
      <c r="E26" s="7">
        <f>+L.Mayor!K22</f>
        <v>17083.333333333336</v>
      </c>
      <c r="F26" s="7">
        <f>+L.Mayor!L22</f>
        <v>0</v>
      </c>
      <c r="G26" s="228">
        <f t="shared" si="0"/>
        <v>17083.333333333336</v>
      </c>
      <c r="H26" s="7">
        <f t="shared" si="1"/>
        <v>17083.333333333336</v>
      </c>
      <c r="I26" s="7" t="str">
        <f t="shared" si="2"/>
        <v/>
      </c>
      <c r="N26" s="7">
        <f>+H26</f>
        <v>17083.333333333336</v>
      </c>
      <c r="P26" s="7">
        <f t="shared" si="3"/>
        <v>17083.333333333336</v>
      </c>
      <c r="Q26" s="264" t="s">
        <v>400</v>
      </c>
      <c r="R26" s="3" t="s">
        <v>419</v>
      </c>
    </row>
    <row r="27" spans="1:18" hidden="1">
      <c r="A27" s="85" t="s">
        <v>381</v>
      </c>
      <c r="B27" s="264" t="s">
        <v>401</v>
      </c>
      <c r="E27" s="7">
        <f>+L.Mayor!K23</f>
        <v>35311.262499999997</v>
      </c>
      <c r="F27" s="7">
        <f>+L.Mayor!L23</f>
        <v>0</v>
      </c>
      <c r="G27" s="228">
        <f t="shared" si="0"/>
        <v>35311.262499999997</v>
      </c>
      <c r="H27" s="7">
        <f t="shared" si="1"/>
        <v>35311.262499999997</v>
      </c>
      <c r="I27" s="7" t="str">
        <f t="shared" si="2"/>
        <v/>
      </c>
      <c r="N27" s="7">
        <f>+H27</f>
        <v>35311.262499999997</v>
      </c>
      <c r="P27" s="7">
        <f t="shared" si="3"/>
        <v>35311.262499999997</v>
      </c>
      <c r="Q27" s="264" t="s">
        <v>401</v>
      </c>
      <c r="R27" s="3" t="s">
        <v>419</v>
      </c>
    </row>
    <row r="28" spans="1:18" ht="12.5" hidden="1" thickBot="1">
      <c r="C28" s="132">
        <f>+SUM(C7:C27)</f>
        <v>1000000</v>
      </c>
      <c r="D28" s="132">
        <f>+SUM(D7:D27)</f>
        <v>1000000</v>
      </c>
      <c r="E28" s="132">
        <f>+SUM(E7:E27)</f>
        <v>1195376.9916666667</v>
      </c>
      <c r="F28" s="132">
        <f>+SUM(F7:F27)</f>
        <v>1195376.9916666669</v>
      </c>
      <c r="H28" s="132">
        <f>+SUM(H7:H27)</f>
        <v>2097038.7683333333</v>
      </c>
      <c r="I28" s="132">
        <f>+SUM(I7:I27)</f>
        <v>2097038.7683333333</v>
      </c>
      <c r="J28" s="132">
        <f t="shared" ref="J28:K28" si="8">+SUM(J7:J27)</f>
        <v>1656792.91</v>
      </c>
      <c r="K28" s="132">
        <f t="shared" si="8"/>
        <v>1703064.1724999999</v>
      </c>
      <c r="L28" s="132">
        <f t="shared" ref="L28" si="9">+SUM(L7:L27)</f>
        <v>387851.26250000001</v>
      </c>
      <c r="M28" s="132">
        <f t="shared" ref="M28" si="10">+SUM(M7:M27)</f>
        <v>341580</v>
      </c>
      <c r="N28" s="132">
        <f t="shared" ref="N28" si="11">+SUM(N7:N27)</f>
        <v>73851.262499999997</v>
      </c>
      <c r="O28" s="132">
        <f t="shared" ref="O28" si="12">+SUM(O7:O27)</f>
        <v>27580</v>
      </c>
    </row>
    <row r="29" spans="1:18" hidden="1">
      <c r="D29" s="7">
        <f>+C28-D28</f>
        <v>0</v>
      </c>
      <c r="F29" s="7">
        <f>+E28-F28</f>
        <v>0</v>
      </c>
      <c r="I29" s="7">
        <f>+H28-I28</f>
        <v>0</v>
      </c>
      <c r="J29" s="7">
        <f>+K28-J28</f>
        <v>46271.262499999953</v>
      </c>
      <c r="M29" s="7">
        <f>+L28-M28</f>
        <v>46271.262500000012</v>
      </c>
      <c r="O29" s="7">
        <f>+N28-O28</f>
        <v>46271.262499999997</v>
      </c>
    </row>
    <row r="30" spans="1:18" ht="12.5" hidden="1" thickBot="1">
      <c r="J30" s="132">
        <f>+SUM(J28:J29)</f>
        <v>1703064.1724999999</v>
      </c>
      <c r="K30" s="132">
        <f>+SUM(K28:K29)</f>
        <v>1703064.1724999999</v>
      </c>
      <c r="L30" s="132">
        <f>+SUM(L28:L29)</f>
        <v>387851.26250000001</v>
      </c>
      <c r="M30" s="132">
        <f>+SUM(M28:M29)</f>
        <v>387851.26250000001</v>
      </c>
      <c r="N30" s="132">
        <f>+SUM(N28:N29)</f>
        <v>73851.262499999997</v>
      </c>
      <c r="O30" s="132">
        <f>+SUM(O28:O29)</f>
        <v>73851.262499999997</v>
      </c>
    </row>
  </sheetData>
  <autoFilter ref="A6:R30" xr:uid="{A2ED0335-6FE2-438B-96B0-C1371C1ACEAA}">
    <filterColumn colId="16">
      <filters>
        <filter val="Otras cuentas por cobrar"/>
      </filters>
    </filterColumn>
  </autoFilter>
  <mergeCells count="6">
    <mergeCell ref="C5:D5"/>
    <mergeCell ref="E5:F5"/>
    <mergeCell ref="H5:I5"/>
    <mergeCell ref="J5:K5"/>
    <mergeCell ref="L5:M5"/>
    <mergeCell ref="N5:O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96DDD-2CF7-48B9-8999-2A61583B8590}">
  <sheetPr>
    <tabColor theme="7" tint="-0.499984740745262"/>
  </sheetPr>
  <dimension ref="A1:H19"/>
  <sheetViews>
    <sheetView showGridLines="0" zoomScale="120" zoomScaleNormal="120" workbookViewId="0">
      <selection activeCell="F7" sqref="F7:H8"/>
    </sheetView>
  </sheetViews>
  <sheetFormatPr baseColWidth="10" defaultRowHeight="12"/>
  <cols>
    <col min="1" max="1" width="24.54296875" style="26" bestFit="1" customWidth="1"/>
    <col min="2" max="2" width="5.08984375" style="26" bestFit="1" customWidth="1"/>
    <col min="3" max="3" width="8.453125" style="26" bestFit="1" customWidth="1"/>
    <col min="4" max="4" width="4" style="26" bestFit="1" customWidth="1"/>
    <col min="5" max="5" width="10.90625" style="26"/>
    <col min="6" max="6" width="21.36328125" style="26" bestFit="1" customWidth="1"/>
    <col min="7" max="7" width="21.36328125" style="26" customWidth="1"/>
    <col min="8" max="8" width="8.54296875" style="26" bestFit="1" customWidth="1"/>
    <col min="9" max="16384" width="10.90625" style="26"/>
  </cols>
  <sheetData>
    <row r="1" spans="1:8">
      <c r="A1" s="36" t="s">
        <v>127</v>
      </c>
      <c r="B1" s="36"/>
    </row>
    <row r="2" spans="1:8">
      <c r="A2" s="36" t="s">
        <v>417</v>
      </c>
      <c r="B2" s="36"/>
    </row>
    <row r="3" spans="1:8">
      <c r="A3" s="36" t="s">
        <v>403</v>
      </c>
      <c r="B3" s="36"/>
    </row>
    <row r="5" spans="1:8">
      <c r="A5" s="282" t="s">
        <v>69</v>
      </c>
      <c r="B5" s="281" t="s">
        <v>420</v>
      </c>
      <c r="C5" s="281">
        <v>44866</v>
      </c>
      <c r="D5" s="281"/>
      <c r="E5" s="281"/>
      <c r="F5" s="282" t="s">
        <v>70</v>
      </c>
      <c r="G5" s="282"/>
      <c r="H5" s="281">
        <v>44866</v>
      </c>
    </row>
    <row r="6" spans="1:8">
      <c r="A6" s="131" t="s">
        <v>383</v>
      </c>
      <c r="B6" s="131"/>
      <c r="C6" s="277">
        <f>+SUMIF('BC-11.22'!$Q:$Q,ESF!A6,'BC-11.22'!$P:$P)</f>
        <v>966804.4</v>
      </c>
      <c r="D6" s="288" t="s">
        <v>4</v>
      </c>
    </row>
    <row r="7" spans="1:8">
      <c r="A7" s="259" t="s">
        <v>411</v>
      </c>
      <c r="B7" s="259"/>
      <c r="C7" s="294">
        <f>+SUMIF('BC-11.22'!$Q:$Q,ESF!A7,'BC-11.22'!$P:$P)</f>
        <v>19470</v>
      </c>
      <c r="D7" s="294"/>
      <c r="F7" s="283" t="s">
        <v>414</v>
      </c>
      <c r="G7" s="283"/>
      <c r="H7" s="284">
        <f>+-SUMIF('BC-11.22'!$Q:$Q,ESF!F7,'BC-11.22'!$P:$P)</f>
        <v>370520</v>
      </c>
    </row>
    <row r="8" spans="1:8">
      <c r="A8" s="259" t="s">
        <v>413</v>
      </c>
      <c r="B8" s="259"/>
      <c r="C8" s="294">
        <f>+SUMIF('BC-11.22'!$Q:$Q,ESF!A8,'BC-11.22'!$P:$P)</f>
        <v>292543.33333333331</v>
      </c>
      <c r="D8" s="294"/>
      <c r="F8" s="283" t="s">
        <v>239</v>
      </c>
      <c r="G8" s="283"/>
      <c r="H8" s="284">
        <f>+-SUMIF('BC-11.22'!$Q:$Q,ESF!F8,'BC-11.22'!$P:$P)</f>
        <v>236153.16249999998</v>
      </c>
    </row>
    <row r="9" spans="1:8">
      <c r="A9" s="259" t="s">
        <v>412</v>
      </c>
      <c r="B9" s="259"/>
      <c r="C9" s="294">
        <f>+SUMIF('BC-11.22'!$Q:$Q,ESF!A9,'BC-11.22'!$P:$P)</f>
        <v>44821.666666666664</v>
      </c>
      <c r="D9" s="294"/>
    </row>
    <row r="10" spans="1:8" ht="12.5" thickBot="1">
      <c r="A10" s="279" t="s">
        <v>423</v>
      </c>
      <c r="C10" s="278">
        <f>+SUM(C6:C9)</f>
        <v>1323639.4000000001</v>
      </c>
      <c r="D10" s="287"/>
      <c r="F10" s="279" t="s">
        <v>421</v>
      </c>
      <c r="G10" s="279"/>
      <c r="H10" s="278">
        <f>+SUM(H6:H9)</f>
        <v>606673.16249999998</v>
      </c>
    </row>
    <row r="11" spans="1:8" ht="12.5" thickTop="1"/>
    <row r="12" spans="1:8">
      <c r="F12" s="131" t="s">
        <v>404</v>
      </c>
      <c r="G12" s="131"/>
      <c r="H12" s="277">
        <f>+-SUMIF('BC-11.22'!$Q:$Q,ESF!F12,'BC-11.22'!$P:$P)</f>
        <v>1000000</v>
      </c>
    </row>
    <row r="13" spans="1:8">
      <c r="A13" s="283" t="s">
        <v>386</v>
      </c>
      <c r="B13" s="283"/>
      <c r="C13" s="284">
        <f>+SUMIF('BC-11.22'!$Q:$Q,ESF!A13,'BC-11.22'!$P:$P)</f>
        <v>236762.5</v>
      </c>
      <c r="D13" s="284"/>
      <c r="F13" s="26" t="s">
        <v>427</v>
      </c>
      <c r="H13" s="277">
        <f>+ERI!B14</f>
        <v>-46271.262499999997</v>
      </c>
    </row>
    <row r="14" spans="1:8" ht="12.5" thickBot="1">
      <c r="A14" s="279" t="s">
        <v>422</v>
      </c>
      <c r="C14" s="278">
        <f>+C13</f>
        <v>236762.5</v>
      </c>
      <c r="D14" s="287"/>
      <c r="F14" s="279" t="s">
        <v>424</v>
      </c>
      <c r="G14" s="279"/>
      <c r="H14" s="278">
        <f>+SUM(H12:H13)</f>
        <v>953728.73750000005</v>
      </c>
    </row>
    <row r="15" spans="1:8" ht="12.5" thickTop="1"/>
    <row r="16" spans="1:8" ht="12.5" thickBot="1">
      <c r="A16" s="279" t="s">
        <v>426</v>
      </c>
      <c r="C16" s="278">
        <f>+C14+C10</f>
        <v>1560401.9000000001</v>
      </c>
      <c r="D16" s="287"/>
      <c r="F16" s="279" t="s">
        <v>425</v>
      </c>
      <c r="G16" s="279"/>
      <c r="H16" s="278">
        <f>+H14+H10</f>
        <v>1560401.9</v>
      </c>
    </row>
    <row r="17" spans="1:8" ht="12.5" thickTop="1">
      <c r="H17" s="280">
        <f>+H16-C16</f>
        <v>0</v>
      </c>
    </row>
    <row r="19" spans="1:8">
      <c r="A19" s="288" t="s">
        <v>4</v>
      </c>
      <c r="B19" s="289" t="s">
        <v>431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DA88D-59BA-4936-BCEE-CA222DA60718}">
  <sheetPr>
    <tabColor rgb="FFFF0000"/>
  </sheetPr>
  <dimension ref="A1:H9"/>
  <sheetViews>
    <sheetView showGridLines="0" zoomScale="120" zoomScaleNormal="120" workbookViewId="0">
      <selection activeCell="F7" sqref="F7:F9"/>
    </sheetView>
  </sheetViews>
  <sheetFormatPr baseColWidth="10" defaultRowHeight="12"/>
  <cols>
    <col min="1" max="1" width="10.90625" style="26"/>
    <col min="2" max="2" width="8.54296875" style="26" bestFit="1" customWidth="1"/>
    <col min="3" max="3" width="3.90625" style="26" bestFit="1" customWidth="1"/>
    <col min="4" max="4" width="4.26953125" style="26" bestFit="1" customWidth="1"/>
    <col min="5" max="5" width="6.453125" style="26" bestFit="1" customWidth="1"/>
    <col min="6" max="6" width="9" style="26" bestFit="1" customWidth="1"/>
    <col min="7" max="7" width="9.6328125" style="26" bestFit="1" customWidth="1"/>
    <col min="8" max="8" width="9.08984375" style="26" bestFit="1" customWidth="1"/>
    <col min="9" max="9" width="2.36328125" style="26" customWidth="1"/>
    <col min="10" max="16384" width="10.90625" style="26"/>
  </cols>
  <sheetData>
    <row r="1" spans="1:8">
      <c r="A1" s="36" t="s">
        <v>127</v>
      </c>
    </row>
    <row r="2" spans="1:8">
      <c r="A2" s="36" t="s">
        <v>432</v>
      </c>
    </row>
    <row r="3" spans="1:8">
      <c r="A3" s="36" t="s">
        <v>403</v>
      </c>
    </row>
    <row r="4" spans="1:8" ht="12.5" thickBot="1"/>
    <row r="5" spans="1:8" ht="12.5" thickBot="1">
      <c r="A5" s="208" t="s">
        <v>433</v>
      </c>
      <c r="B5" s="208" t="s">
        <v>434</v>
      </c>
      <c r="C5" s="208" t="s">
        <v>5</v>
      </c>
      <c r="D5" s="208" t="s">
        <v>6</v>
      </c>
      <c r="E5" s="208" t="s">
        <v>7</v>
      </c>
      <c r="F5" s="208" t="s">
        <v>435</v>
      </c>
      <c r="G5" s="208" t="s">
        <v>436</v>
      </c>
      <c r="H5" s="208" t="s">
        <v>437</v>
      </c>
    </row>
    <row r="6" spans="1:8">
      <c r="A6" s="290">
        <v>44877</v>
      </c>
      <c r="B6" s="56">
        <v>44877</v>
      </c>
      <c r="C6" s="55" t="s">
        <v>16</v>
      </c>
      <c r="D6" s="55" t="s">
        <v>133</v>
      </c>
      <c r="E6" s="55" t="s">
        <v>137</v>
      </c>
      <c r="F6" s="9">
        <v>20205075889</v>
      </c>
      <c r="G6" s="24" t="s">
        <v>17</v>
      </c>
      <c r="H6" s="58">
        <f>+'Op3'!T3</f>
        <v>19470</v>
      </c>
    </row>
    <row r="7" spans="1:8" ht="12.5" thickBot="1">
      <c r="F7" s="279" t="s">
        <v>438</v>
      </c>
      <c r="G7" s="279"/>
      <c r="H7" s="8">
        <f>+H6</f>
        <v>19470</v>
      </c>
    </row>
    <row r="8" spans="1:8" ht="13" thickTop="1" thickBot="1">
      <c r="F8" s="279" t="s">
        <v>439</v>
      </c>
      <c r="G8" s="279"/>
      <c r="H8" s="8">
        <f>+ESF!C7</f>
        <v>19470</v>
      </c>
    </row>
    <row r="9" spans="1:8" ht="12.5" thickTop="1">
      <c r="F9" s="293" t="s">
        <v>440</v>
      </c>
      <c r="G9" s="279"/>
      <c r="H9" s="292">
        <f>+H7-H8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6D2D9-7AE8-42E3-86ED-B560FB2477A1}">
  <sheetPr>
    <tabColor rgb="FFFF0000"/>
  </sheetPr>
  <dimension ref="B1:N16"/>
  <sheetViews>
    <sheetView showGridLines="0" zoomScale="120" zoomScaleNormal="120" workbookViewId="0">
      <pane xSplit="5" ySplit="4" topLeftCell="H5" activePane="bottomRight" state="frozen"/>
      <selection activeCell="K17" sqref="K17"/>
      <selection pane="topRight" activeCell="K17" sqref="K17"/>
      <selection pane="bottomLeft" activeCell="K17" sqref="K17"/>
      <selection pane="bottomRight" activeCell="N16" sqref="N16"/>
    </sheetView>
  </sheetViews>
  <sheetFormatPr baseColWidth="10" defaultRowHeight="12"/>
  <cols>
    <col min="1" max="1" width="1.54296875" style="26" customWidth="1"/>
    <col min="2" max="2" width="14.81640625" style="26" bestFit="1" customWidth="1"/>
    <col min="3" max="3" width="22.08984375" style="26" bestFit="1" customWidth="1"/>
    <col min="4" max="4" width="8.26953125" style="26" bestFit="1" customWidth="1"/>
    <col min="5" max="5" width="5.6328125" style="26" bestFit="1" customWidth="1"/>
    <col min="6" max="6" width="7.1796875" style="26" bestFit="1" customWidth="1"/>
    <col min="7" max="7" width="5.6328125" style="26" bestFit="1" customWidth="1"/>
    <col min="8" max="8" width="8.7265625" style="26" bestFit="1" customWidth="1"/>
    <col min="9" max="9" width="6.36328125" style="26" bestFit="1" customWidth="1"/>
    <col min="10" max="10" width="5.6328125" style="26" bestFit="1" customWidth="1"/>
    <col min="11" max="11" width="8.54296875" style="26" bestFit="1" customWidth="1"/>
    <col min="12" max="12" width="15.26953125" style="26" customWidth="1"/>
    <col min="13" max="13" width="5.6328125" style="26" bestFit="1" customWidth="1"/>
    <col min="14" max="14" width="9.36328125" style="26" bestFit="1" customWidth="1"/>
    <col min="15" max="16384" width="10.90625" style="26"/>
  </cols>
  <sheetData>
    <row r="1" spans="2:14">
      <c r="B1" s="216" t="s">
        <v>268</v>
      </c>
    </row>
    <row r="2" spans="2:14" ht="12.5" thickBot="1"/>
    <row r="3" spans="2:14" ht="12.5" thickBot="1">
      <c r="F3" s="209" t="s">
        <v>261</v>
      </c>
      <c r="G3" s="210"/>
      <c r="H3" s="211"/>
      <c r="I3" s="209" t="s">
        <v>262</v>
      </c>
      <c r="J3" s="210"/>
      <c r="K3" s="211"/>
      <c r="L3" s="209" t="s">
        <v>263</v>
      </c>
      <c r="M3" s="210"/>
      <c r="N3" s="211"/>
    </row>
    <row r="4" spans="2:14">
      <c r="B4" s="212" t="s">
        <v>264</v>
      </c>
      <c r="C4" s="212" t="s">
        <v>1</v>
      </c>
      <c r="D4" s="212" t="s">
        <v>13</v>
      </c>
      <c r="E4" s="212" t="s">
        <v>5</v>
      </c>
      <c r="F4" s="212" t="s">
        <v>2</v>
      </c>
      <c r="G4" s="212" t="s">
        <v>260</v>
      </c>
      <c r="H4" s="212" t="s">
        <v>3</v>
      </c>
      <c r="I4" s="212" t="s">
        <v>2</v>
      </c>
      <c r="J4" s="212" t="s">
        <v>260</v>
      </c>
      <c r="K4" s="212" t="s">
        <v>3</v>
      </c>
      <c r="L4" s="212" t="s">
        <v>2</v>
      </c>
      <c r="M4" s="212" t="s">
        <v>260</v>
      </c>
      <c r="N4" s="212" t="s">
        <v>3</v>
      </c>
    </row>
    <row r="5" spans="2:14">
      <c r="B5" s="29"/>
      <c r="C5" s="29" t="s">
        <v>267</v>
      </c>
      <c r="D5" s="29"/>
      <c r="E5" s="29"/>
      <c r="F5" s="29"/>
      <c r="G5" s="29"/>
      <c r="H5" s="29"/>
      <c r="I5" s="29"/>
      <c r="J5" s="29"/>
      <c r="K5" s="29"/>
      <c r="L5" s="21">
        <v>0</v>
      </c>
      <c r="M5" s="217">
        <v>0</v>
      </c>
      <c r="N5" s="21">
        <v>0</v>
      </c>
    </row>
    <row r="6" spans="2:14">
      <c r="B6" s="213" t="s">
        <v>266</v>
      </c>
      <c r="C6" s="9" t="s">
        <v>265</v>
      </c>
      <c r="D6" s="30">
        <f>+'Op2'!B3</f>
        <v>44868</v>
      </c>
      <c r="E6" s="29" t="s">
        <v>259</v>
      </c>
      <c r="F6" s="214">
        <f>+'Op2'!AO3</f>
        <v>5000</v>
      </c>
      <c r="G6" s="214">
        <f>+H6/F6</f>
        <v>25</v>
      </c>
      <c r="H6" s="214">
        <f>+'Op2'!AQ3</f>
        <v>125000</v>
      </c>
      <c r="I6" s="29"/>
      <c r="J6" s="29"/>
      <c r="K6" s="29"/>
      <c r="L6" s="214">
        <f>+L5+F6-I6</f>
        <v>5000</v>
      </c>
      <c r="M6" s="215">
        <f>+N6/L6</f>
        <v>25</v>
      </c>
      <c r="N6" s="214">
        <f>+N5+H6-K6</f>
        <v>125000</v>
      </c>
    </row>
    <row r="7" spans="2:14">
      <c r="B7" s="213" t="s">
        <v>266</v>
      </c>
      <c r="C7" s="9" t="s">
        <v>265</v>
      </c>
      <c r="D7" s="30">
        <f>+'Op2'!B4</f>
        <v>44872</v>
      </c>
      <c r="E7" s="29" t="s">
        <v>259</v>
      </c>
      <c r="F7" s="214">
        <f>+'Op2'!AO4</f>
        <v>7000</v>
      </c>
      <c r="G7" s="215">
        <f>+H7/F7</f>
        <v>27</v>
      </c>
      <c r="H7" s="214">
        <f>+'Op2'!AQ4</f>
        <v>189000</v>
      </c>
      <c r="I7" s="29"/>
      <c r="J7" s="29"/>
      <c r="K7" s="29"/>
      <c r="L7" s="214">
        <f>+L6+F7-I7</f>
        <v>12000</v>
      </c>
      <c r="M7" s="215">
        <f>+N7/L7</f>
        <v>26.166666666666668</v>
      </c>
      <c r="N7" s="214">
        <f>+N6+H7-K7</f>
        <v>314000</v>
      </c>
    </row>
    <row r="8" spans="2:14">
      <c r="B8" s="213" t="s">
        <v>266</v>
      </c>
      <c r="C8" s="9" t="s">
        <v>265</v>
      </c>
      <c r="D8" s="30">
        <f>+'Op3'!B3</f>
        <v>44877</v>
      </c>
      <c r="E8" s="29" t="s">
        <v>199</v>
      </c>
      <c r="F8" s="29"/>
      <c r="G8" s="29"/>
      <c r="H8" s="29"/>
      <c r="I8" s="214">
        <f>+'Op3'!AL3</f>
        <v>500</v>
      </c>
      <c r="J8" s="214">
        <f>+M7</f>
        <v>26.166666666666668</v>
      </c>
      <c r="K8" s="214">
        <f>+I8*J8</f>
        <v>13083.333333333334</v>
      </c>
      <c r="L8" s="214">
        <f t="shared" ref="L8:L11" si="0">+L7+F8-I8</f>
        <v>11500</v>
      </c>
      <c r="M8" s="215">
        <f t="shared" ref="M8:M11" si="1">+N8/L8</f>
        <v>26.166666666666668</v>
      </c>
      <c r="N8" s="214">
        <f t="shared" ref="N8:N11" si="2">+N7+H8-K8</f>
        <v>300916.66666666669</v>
      </c>
    </row>
    <row r="9" spans="2:14">
      <c r="B9" s="213" t="s">
        <v>266</v>
      </c>
      <c r="C9" s="9" t="s">
        <v>265</v>
      </c>
      <c r="D9" s="30">
        <f>+'Op3'!B4</f>
        <v>44877</v>
      </c>
      <c r="E9" s="29" t="s">
        <v>199</v>
      </c>
      <c r="F9" s="29"/>
      <c r="G9" s="29"/>
      <c r="H9" s="29"/>
      <c r="I9" s="214">
        <f>+'Op3'!AL4</f>
        <v>200</v>
      </c>
      <c r="J9" s="214">
        <f t="shared" ref="J9:J11" si="3">+M8</f>
        <v>26.166666666666668</v>
      </c>
      <c r="K9" s="214">
        <f t="shared" ref="K9:K11" si="4">+I9*J9</f>
        <v>5233.3333333333339</v>
      </c>
      <c r="L9" s="214">
        <f t="shared" si="0"/>
        <v>11300</v>
      </c>
      <c r="M9" s="215">
        <f t="shared" si="1"/>
        <v>26.166666666666671</v>
      </c>
      <c r="N9" s="214">
        <f t="shared" si="2"/>
        <v>295683.33333333337</v>
      </c>
    </row>
    <row r="10" spans="2:14">
      <c r="B10" s="213" t="s">
        <v>266</v>
      </c>
      <c r="C10" s="9" t="s">
        <v>265</v>
      </c>
      <c r="D10" s="30">
        <f>+'Op3'!B5</f>
        <v>44877</v>
      </c>
      <c r="E10" s="29" t="s">
        <v>199</v>
      </c>
      <c r="F10" s="29"/>
      <c r="G10" s="29"/>
      <c r="H10" s="29"/>
      <c r="I10" s="214">
        <f>+'Op3'!AL5</f>
        <v>20</v>
      </c>
      <c r="J10" s="214">
        <f t="shared" si="3"/>
        <v>26.166666666666671</v>
      </c>
      <c r="K10" s="214">
        <f t="shared" si="4"/>
        <v>523.33333333333348</v>
      </c>
      <c r="L10" s="214">
        <f t="shared" si="0"/>
        <v>11280</v>
      </c>
      <c r="M10" s="215">
        <f t="shared" si="1"/>
        <v>26.166666666666671</v>
      </c>
      <c r="N10" s="214">
        <f t="shared" si="2"/>
        <v>295160.00000000006</v>
      </c>
    </row>
    <row r="11" spans="2:14">
      <c r="B11" s="213" t="s">
        <v>266</v>
      </c>
      <c r="C11" s="9" t="s">
        <v>265</v>
      </c>
      <c r="D11" s="30">
        <f>+'Op3'!B6</f>
        <v>44878</v>
      </c>
      <c r="E11" s="29" t="s">
        <v>199</v>
      </c>
      <c r="F11" s="29"/>
      <c r="G11" s="29"/>
      <c r="H11" s="29"/>
      <c r="I11" s="214">
        <f>+'Op3'!AL6</f>
        <v>100</v>
      </c>
      <c r="J11" s="214">
        <f t="shared" si="3"/>
        <v>26.166666666666671</v>
      </c>
      <c r="K11" s="214">
        <f t="shared" si="4"/>
        <v>2616.666666666667</v>
      </c>
      <c r="L11" s="214">
        <f t="shared" si="0"/>
        <v>11180</v>
      </c>
      <c r="M11" s="215">
        <f t="shared" si="1"/>
        <v>26.166666666666671</v>
      </c>
      <c r="N11" s="214">
        <f t="shared" si="2"/>
        <v>292543.33333333337</v>
      </c>
    </row>
    <row r="12" spans="2:14" ht="12.5" thickBot="1">
      <c r="I12" s="218">
        <f>+SUM(I8:I11)</f>
        <v>820</v>
      </c>
      <c r="K12" s="218">
        <f>+SUM(K8:K11)</f>
        <v>21456.666666666668</v>
      </c>
    </row>
    <row r="13" spans="2:14" ht="12.5" thickTop="1"/>
    <row r="14" spans="2:14">
      <c r="K14" s="279" t="s">
        <v>441</v>
      </c>
      <c r="L14" s="279"/>
      <c r="M14" s="279"/>
      <c r="N14" s="291">
        <f>+N11</f>
        <v>292543.33333333337</v>
      </c>
    </row>
    <row r="15" spans="2:14">
      <c r="K15" s="279" t="s">
        <v>439</v>
      </c>
      <c r="L15" s="279"/>
      <c r="M15" s="279"/>
      <c r="N15" s="291">
        <f>+ESF!C8</f>
        <v>292543.33333333331</v>
      </c>
    </row>
    <row r="16" spans="2:14">
      <c r="K16" s="293" t="s">
        <v>440</v>
      </c>
      <c r="L16" s="279"/>
      <c r="M16" s="279"/>
      <c r="N16" s="292">
        <f>+N14-N15</f>
        <v>0</v>
      </c>
    </row>
  </sheetData>
  <mergeCells count="3">
    <mergeCell ref="F3:H3"/>
    <mergeCell ref="I3:K3"/>
    <mergeCell ref="L3:N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65316-BBA4-49CA-8646-7951635F5327}">
  <sheetPr>
    <tabColor rgb="FFFF0000"/>
  </sheetPr>
  <dimension ref="A1:V11"/>
  <sheetViews>
    <sheetView showGridLines="0" tabSelected="1" zoomScale="120" zoomScaleNormal="120" workbookViewId="0">
      <selection activeCell="I11" sqref="I11"/>
    </sheetView>
  </sheetViews>
  <sheetFormatPr baseColWidth="10" defaultRowHeight="12" outlineLevelCol="1"/>
  <cols>
    <col min="1" max="2" width="10.90625" style="26"/>
    <col min="3" max="3" width="8.54296875" style="26" bestFit="1" customWidth="1"/>
    <col min="4" max="4" width="3.90625" style="26" bestFit="1" customWidth="1"/>
    <col min="5" max="5" width="4.26953125" style="26" bestFit="1" customWidth="1"/>
    <col min="6" max="6" width="6.7265625" style="26" bestFit="1" customWidth="1"/>
    <col min="7" max="7" width="9" style="26" bestFit="1" customWidth="1"/>
    <col min="8" max="8" width="10.36328125" style="26" bestFit="1" customWidth="1"/>
    <col min="9" max="9" width="9.08984375" style="26" bestFit="1" customWidth="1"/>
    <col min="10" max="10" width="6.453125" style="26" bestFit="1" customWidth="1"/>
    <col min="11" max="21" width="6.453125" style="26" hidden="1" customWidth="1" outlineLevel="1"/>
    <col min="22" max="22" width="13.54296875" style="26" bestFit="1" customWidth="1" collapsed="1"/>
    <col min="23" max="16384" width="10.90625" style="26"/>
  </cols>
  <sheetData>
    <row r="1" spans="1:22">
      <c r="A1" s="36" t="s">
        <v>127</v>
      </c>
    </row>
    <row r="2" spans="1:22">
      <c r="A2" s="36" t="s">
        <v>412</v>
      </c>
    </row>
    <row r="3" spans="1:22" ht="13.5">
      <c r="A3" s="36" t="s">
        <v>403</v>
      </c>
      <c r="C3" s="298" t="s">
        <v>445</v>
      </c>
      <c r="D3" s="298"/>
      <c r="E3" s="298"/>
      <c r="F3" s="298"/>
      <c r="G3" s="298"/>
    </row>
    <row r="5" spans="1:22" ht="12.5" thickBot="1"/>
    <row r="6" spans="1:22">
      <c r="A6" s="212" t="s">
        <v>442</v>
      </c>
      <c r="B6" s="212" t="s">
        <v>433</v>
      </c>
      <c r="C6" s="212" t="s">
        <v>434</v>
      </c>
      <c r="D6" s="212" t="s">
        <v>5</v>
      </c>
      <c r="E6" s="212" t="s">
        <v>6</v>
      </c>
      <c r="F6" s="212" t="s">
        <v>7</v>
      </c>
      <c r="G6" s="212" t="s">
        <v>435</v>
      </c>
      <c r="H6" s="212" t="s">
        <v>436</v>
      </c>
      <c r="I6" s="212" t="s">
        <v>437</v>
      </c>
      <c r="J6" s="296">
        <v>44866</v>
      </c>
      <c r="K6" s="296">
        <v>44896</v>
      </c>
      <c r="L6" s="296">
        <v>44927</v>
      </c>
      <c r="M6" s="296">
        <v>44958</v>
      </c>
      <c r="N6" s="296">
        <v>44986</v>
      </c>
      <c r="O6" s="296">
        <v>45017</v>
      </c>
      <c r="P6" s="296">
        <v>45047</v>
      </c>
      <c r="Q6" s="296">
        <v>45078</v>
      </c>
      <c r="R6" s="296">
        <v>45108</v>
      </c>
      <c r="S6" s="296">
        <v>45139</v>
      </c>
      <c r="T6" s="296">
        <v>45170</v>
      </c>
      <c r="U6" s="296">
        <v>45200</v>
      </c>
      <c r="V6" s="296" t="s">
        <v>382</v>
      </c>
    </row>
    <row r="7" spans="1:22">
      <c r="A7" s="295">
        <v>182</v>
      </c>
      <c r="B7" s="50">
        <v>44866</v>
      </c>
      <c r="C7" s="38">
        <v>44893</v>
      </c>
      <c r="D7" s="49" t="s">
        <v>16</v>
      </c>
      <c r="E7" s="49" t="s">
        <v>131</v>
      </c>
      <c r="F7" s="51" t="s">
        <v>183</v>
      </c>
      <c r="G7" s="49">
        <v>20206060641</v>
      </c>
      <c r="H7" s="49" t="s">
        <v>184</v>
      </c>
      <c r="I7" s="214">
        <f>+'Op2'!K43</f>
        <v>5500</v>
      </c>
      <c r="J7" s="21">
        <f>-I7/12</f>
        <v>-458.33333333333331</v>
      </c>
      <c r="K7" s="21">
        <f>+J7</f>
        <v>-458.33333333333331</v>
      </c>
      <c r="L7" s="21">
        <f t="shared" ref="L7:U7" si="0">+K7</f>
        <v>-458.33333333333331</v>
      </c>
      <c r="M7" s="21">
        <f t="shared" si="0"/>
        <v>-458.33333333333331</v>
      </c>
      <c r="N7" s="21">
        <f t="shared" si="0"/>
        <v>-458.33333333333331</v>
      </c>
      <c r="O7" s="21">
        <f t="shared" si="0"/>
        <v>-458.33333333333331</v>
      </c>
      <c r="P7" s="21">
        <f t="shared" si="0"/>
        <v>-458.33333333333331</v>
      </c>
      <c r="Q7" s="21">
        <f t="shared" si="0"/>
        <v>-458.33333333333331</v>
      </c>
      <c r="R7" s="21">
        <f t="shared" si="0"/>
        <v>-458.33333333333331</v>
      </c>
      <c r="S7" s="21">
        <f t="shared" si="0"/>
        <v>-458.33333333333331</v>
      </c>
      <c r="T7" s="21">
        <f t="shared" si="0"/>
        <v>-458.33333333333331</v>
      </c>
      <c r="U7" s="21">
        <f t="shared" si="0"/>
        <v>-458.33333333333331</v>
      </c>
      <c r="V7" s="214">
        <f>+I7+J7</f>
        <v>5041.666666666667</v>
      </c>
    </row>
    <row r="8" spans="1:22">
      <c r="A8" s="295">
        <v>189</v>
      </c>
      <c r="B8" s="50">
        <v>44593</v>
      </c>
      <c r="C8" s="50">
        <v>44593</v>
      </c>
      <c r="D8" s="29" t="s">
        <v>443</v>
      </c>
      <c r="E8" s="29" t="s">
        <v>443</v>
      </c>
      <c r="F8" s="29" t="s">
        <v>443</v>
      </c>
      <c r="G8" s="29">
        <v>45789125</v>
      </c>
      <c r="H8" s="29" t="s">
        <v>444</v>
      </c>
      <c r="I8" s="214">
        <f>+'Op4'!F15</f>
        <v>39780</v>
      </c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14">
        <f>+I8+J8</f>
        <v>39780</v>
      </c>
    </row>
    <row r="9" spans="1:22">
      <c r="H9" s="279" t="s">
        <v>438</v>
      </c>
      <c r="V9" s="291">
        <f>+SUM(V7:V8)</f>
        <v>44821.666666666664</v>
      </c>
    </row>
    <row r="10" spans="1:22">
      <c r="H10" s="279" t="s">
        <v>439</v>
      </c>
      <c r="V10" s="291">
        <f>+ESF!C9</f>
        <v>44821.666666666664</v>
      </c>
    </row>
    <row r="11" spans="1:22">
      <c r="H11" s="293" t="s">
        <v>440</v>
      </c>
      <c r="V11" s="297">
        <f>+V9-V10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C98A8-1B4B-4FA7-92C4-DC9DA75E9139}">
  <sheetPr>
    <tabColor theme="7" tint="-0.499984740745262"/>
  </sheetPr>
  <dimension ref="A1:B15"/>
  <sheetViews>
    <sheetView showGridLines="0" zoomScale="120" zoomScaleNormal="120" workbookViewId="0">
      <selection activeCell="B7" sqref="B7"/>
    </sheetView>
  </sheetViews>
  <sheetFormatPr baseColWidth="10" defaultRowHeight="12"/>
  <cols>
    <col min="1" max="1" width="16.6328125" style="26" customWidth="1"/>
    <col min="2" max="16384" width="10.90625" style="26"/>
  </cols>
  <sheetData>
    <row r="1" spans="1:2">
      <c r="A1" s="36" t="s">
        <v>127</v>
      </c>
    </row>
    <row r="2" spans="1:2">
      <c r="A2" s="36" t="s">
        <v>428</v>
      </c>
    </row>
    <row r="3" spans="1:2">
      <c r="A3" s="36" t="s">
        <v>403</v>
      </c>
    </row>
    <row r="5" spans="1:2">
      <c r="B5" s="281">
        <v>44866</v>
      </c>
    </row>
    <row r="6" spans="1:2">
      <c r="A6" s="3" t="s">
        <v>415</v>
      </c>
      <c r="B6" s="285">
        <f>+-SUMIF('BC-11.22'!$Q:$Q,ERI!A6,'BC-11.22'!$P:$P)</f>
        <v>27580</v>
      </c>
    </row>
    <row r="7" spans="1:2">
      <c r="A7" s="3" t="s">
        <v>397</v>
      </c>
      <c r="B7" s="285">
        <f>+-SUMIF('BC-11.22'!$Q:$Q,ERI!A7,'BC-11.22'!$P:$P)</f>
        <v>-21456.666666666668</v>
      </c>
    </row>
    <row r="8" spans="1:2" ht="12.5" thickBot="1">
      <c r="A8" s="247" t="s">
        <v>429</v>
      </c>
      <c r="B8" s="286">
        <f>+SUM(B6:B7)</f>
        <v>6123.3333333333321</v>
      </c>
    </row>
    <row r="9" spans="1:2" ht="12.5" thickTop="1">
      <c r="B9" s="280"/>
    </row>
    <row r="10" spans="1:2">
      <c r="A10" s="264" t="s">
        <v>400</v>
      </c>
      <c r="B10" s="285">
        <f>+-SUMIF('BC-11.22'!$Q:$Q,ERI!A10,'BC-11.22'!$P:$P)</f>
        <v>-17083.333333333336</v>
      </c>
    </row>
    <row r="11" spans="1:2">
      <c r="A11" s="264" t="s">
        <v>401</v>
      </c>
      <c r="B11" s="285">
        <f>+-SUMIF('BC-11.22'!$Q:$Q,ERI!A11,'BC-11.22'!$P:$P)</f>
        <v>-35311.262499999997</v>
      </c>
    </row>
    <row r="12" spans="1:2" ht="12.5" thickBot="1">
      <c r="B12" s="286">
        <f>+SUM(B10:B11)</f>
        <v>-52394.595833333333</v>
      </c>
    </row>
    <row r="13" spans="1:2" ht="12.5" thickTop="1">
      <c r="B13" s="280"/>
    </row>
    <row r="14" spans="1:2" ht="12.5" thickBot="1">
      <c r="A14" s="279" t="s">
        <v>430</v>
      </c>
      <c r="B14" s="286">
        <f>+B12+B8</f>
        <v>-46271.262499999997</v>
      </c>
    </row>
    <row r="15" spans="1:2" ht="12.5" thickTop="1"/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321E9-E9CA-4E92-8504-9037BDFC9ECC}">
  <sheetPr>
    <tabColor theme="7" tint="-0.499984740745262"/>
  </sheetPr>
  <dimension ref="B3:J9"/>
  <sheetViews>
    <sheetView showGridLines="0" workbookViewId="0">
      <selection activeCell="H2" sqref="H2"/>
    </sheetView>
  </sheetViews>
  <sheetFormatPr baseColWidth="10" defaultRowHeight="14.5"/>
  <cols>
    <col min="3" max="3" width="28.54296875" bestFit="1" customWidth="1"/>
  </cols>
  <sheetData>
    <row r="3" spans="2:10">
      <c r="B3">
        <v>19</v>
      </c>
      <c r="C3" t="s">
        <v>309</v>
      </c>
    </row>
    <row r="4" spans="2:10">
      <c r="B4">
        <v>29</v>
      </c>
      <c r="C4" t="s">
        <v>309</v>
      </c>
    </row>
    <row r="5" spans="2:10">
      <c r="B5">
        <v>39</v>
      </c>
      <c r="C5" t="s">
        <v>309</v>
      </c>
    </row>
    <row r="7" spans="2:10">
      <c r="B7" s="248">
        <v>39</v>
      </c>
      <c r="C7" s="248"/>
      <c r="D7" s="248">
        <v>33</v>
      </c>
      <c r="E7" s="248"/>
      <c r="F7" s="248"/>
      <c r="G7" s="248"/>
      <c r="H7" s="248" t="s">
        <v>310</v>
      </c>
      <c r="I7" s="248"/>
      <c r="J7" s="248"/>
    </row>
    <row r="8" spans="2:10">
      <c r="B8">
        <v>19</v>
      </c>
      <c r="D8" t="s">
        <v>311</v>
      </c>
      <c r="H8" t="s">
        <v>312</v>
      </c>
    </row>
    <row r="9" spans="2:10">
      <c r="B9">
        <v>29</v>
      </c>
      <c r="D9">
        <v>2</v>
      </c>
      <c r="H9" t="s">
        <v>313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30F08-5E87-4FE4-991A-52ABFEAEEA63}">
  <sheetPr>
    <tabColor theme="9" tint="-0.499984740745262"/>
  </sheetPr>
  <dimension ref="A1:N9"/>
  <sheetViews>
    <sheetView showGridLines="0" zoomScale="140" zoomScaleNormal="140" workbookViewId="0">
      <pane xSplit="2" ySplit="6" topLeftCell="I7" activePane="bottomRight" state="frozen"/>
      <selection pane="topRight" activeCell="C1" sqref="C1"/>
      <selection pane="bottomLeft" activeCell="A3" sqref="A3"/>
      <selection pane="bottomRight" activeCell="B7" sqref="B7:B9"/>
    </sheetView>
  </sheetViews>
  <sheetFormatPr baseColWidth="10" defaultRowHeight="12"/>
  <cols>
    <col min="1" max="1" width="11.7265625" style="1" customWidth="1"/>
    <col min="2" max="2" width="15" style="1" bestFit="1" customWidth="1"/>
    <col min="3" max="3" width="6.81640625" style="20" bestFit="1" customWidth="1"/>
    <col min="4" max="4" width="8.54296875" style="20" bestFit="1" customWidth="1"/>
    <col min="5" max="5" width="9.36328125" style="20" bestFit="1" customWidth="1"/>
    <col min="6" max="6" width="10.7265625" style="20" bestFit="1" customWidth="1"/>
    <col min="7" max="7" width="9.36328125" style="20" bestFit="1" customWidth="1"/>
    <col min="8" max="8" width="8.54296875" style="20" bestFit="1" customWidth="1"/>
    <col min="9" max="9" width="9.36328125" style="20" bestFit="1" customWidth="1"/>
    <col min="10" max="10" width="10.7265625" style="20" bestFit="1" customWidth="1"/>
    <col min="11" max="11" width="6.90625" style="20" bestFit="1" customWidth="1"/>
    <col min="12" max="12" width="8" style="20" bestFit="1" customWidth="1"/>
    <col min="13" max="13" width="6.90625" style="20" bestFit="1" customWidth="1"/>
    <col min="14" max="14" width="7.08984375" style="20" bestFit="1" customWidth="1"/>
    <col min="15" max="235" width="6.81640625" style="1" customWidth="1"/>
    <col min="236" max="236" width="5.453125" style="1" customWidth="1"/>
    <col min="237" max="237" width="11.81640625" style="1" customWidth="1"/>
    <col min="238" max="238" width="18.453125" style="1" customWidth="1"/>
    <col min="239" max="239" width="9.26953125" style="1" customWidth="1"/>
    <col min="240" max="241" width="9.453125" style="1" customWidth="1"/>
    <col min="242" max="242" width="6.26953125" style="1" customWidth="1"/>
    <col min="243" max="243" width="3.1796875" style="1" customWidth="1"/>
    <col min="244" max="244" width="5.7265625" style="1" customWidth="1"/>
    <col min="245" max="245" width="3.7265625" style="1" customWidth="1"/>
    <col min="246" max="246" width="7.54296875" style="1" customWidth="1"/>
    <col min="247" max="247" width="1.81640625" style="1" customWidth="1"/>
    <col min="248" max="248" width="9.453125" style="1" customWidth="1"/>
    <col min="249" max="249" width="4.81640625" style="1" customWidth="1"/>
    <col min="250" max="250" width="4.54296875" style="1" customWidth="1"/>
    <col min="251" max="254" width="9.453125" style="1" customWidth="1"/>
    <col min="255" max="491" width="6.81640625" style="1" customWidth="1"/>
    <col min="492" max="492" width="5.453125" style="1" customWidth="1"/>
    <col min="493" max="493" width="11.81640625" style="1" customWidth="1"/>
    <col min="494" max="494" width="18.453125" style="1" customWidth="1"/>
    <col min="495" max="495" width="9.26953125" style="1" customWidth="1"/>
    <col min="496" max="497" width="9.453125" style="1" customWidth="1"/>
    <col min="498" max="498" width="6.26953125" style="1" customWidth="1"/>
    <col min="499" max="499" width="3.1796875" style="1" customWidth="1"/>
    <col min="500" max="500" width="5.7265625" style="1" customWidth="1"/>
    <col min="501" max="501" width="3.7265625" style="1" customWidth="1"/>
    <col min="502" max="502" width="7.54296875" style="1" customWidth="1"/>
    <col min="503" max="503" width="1.81640625" style="1" customWidth="1"/>
    <col min="504" max="504" width="9.453125" style="1" customWidth="1"/>
    <col min="505" max="505" width="4.81640625" style="1" customWidth="1"/>
    <col min="506" max="506" width="4.54296875" style="1" customWidth="1"/>
    <col min="507" max="510" width="9.453125" style="1" customWidth="1"/>
    <col min="511" max="747" width="6.81640625" style="1" customWidth="1"/>
    <col min="748" max="748" width="5.453125" style="1" customWidth="1"/>
    <col min="749" max="749" width="11.81640625" style="1" customWidth="1"/>
    <col min="750" max="750" width="18.453125" style="1" customWidth="1"/>
    <col min="751" max="751" width="9.26953125" style="1" customWidth="1"/>
    <col min="752" max="753" width="9.453125" style="1" customWidth="1"/>
    <col min="754" max="754" width="6.26953125" style="1" customWidth="1"/>
    <col min="755" max="755" width="3.1796875" style="1" customWidth="1"/>
    <col min="756" max="756" width="5.7265625" style="1" customWidth="1"/>
    <col min="757" max="757" width="3.7265625" style="1" customWidth="1"/>
    <col min="758" max="758" width="7.54296875" style="1" customWidth="1"/>
    <col min="759" max="759" width="1.81640625" style="1" customWidth="1"/>
    <col min="760" max="760" width="9.453125" style="1" customWidth="1"/>
    <col min="761" max="761" width="4.81640625" style="1" customWidth="1"/>
    <col min="762" max="762" width="4.54296875" style="1" customWidth="1"/>
    <col min="763" max="766" width="9.453125" style="1" customWidth="1"/>
    <col min="767" max="1003" width="6.81640625" style="1" customWidth="1"/>
    <col min="1004" max="1004" width="5.453125" style="1" customWidth="1"/>
    <col min="1005" max="1005" width="11.81640625" style="1" customWidth="1"/>
    <col min="1006" max="1006" width="18.453125" style="1" customWidth="1"/>
    <col min="1007" max="1007" width="9.26953125" style="1" customWidth="1"/>
    <col min="1008" max="1009" width="9.453125" style="1" customWidth="1"/>
    <col min="1010" max="1010" width="6.26953125" style="1" customWidth="1"/>
    <col min="1011" max="1011" width="3.1796875" style="1" customWidth="1"/>
    <col min="1012" max="1012" width="5.7265625" style="1" customWidth="1"/>
    <col min="1013" max="1013" width="3.7265625" style="1" customWidth="1"/>
    <col min="1014" max="1014" width="7.54296875" style="1" customWidth="1"/>
    <col min="1015" max="1015" width="1.81640625" style="1" customWidth="1"/>
    <col min="1016" max="1016" width="9.453125" style="1" customWidth="1"/>
    <col min="1017" max="1017" width="4.81640625" style="1" customWidth="1"/>
    <col min="1018" max="1018" width="4.54296875" style="1" customWidth="1"/>
    <col min="1019" max="1022" width="9.453125" style="1" customWidth="1"/>
    <col min="1023" max="1259" width="6.81640625" style="1" customWidth="1"/>
    <col min="1260" max="1260" width="5.453125" style="1" customWidth="1"/>
    <col min="1261" max="1261" width="11.81640625" style="1" customWidth="1"/>
    <col min="1262" max="1262" width="18.453125" style="1" customWidth="1"/>
    <col min="1263" max="1263" width="9.26953125" style="1" customWidth="1"/>
    <col min="1264" max="1265" width="9.453125" style="1" customWidth="1"/>
    <col min="1266" max="1266" width="6.26953125" style="1" customWidth="1"/>
    <col min="1267" max="1267" width="3.1796875" style="1" customWidth="1"/>
    <col min="1268" max="1268" width="5.7265625" style="1" customWidth="1"/>
    <col min="1269" max="1269" width="3.7265625" style="1" customWidth="1"/>
    <col min="1270" max="1270" width="7.54296875" style="1" customWidth="1"/>
    <col min="1271" max="1271" width="1.81640625" style="1" customWidth="1"/>
    <col min="1272" max="1272" width="9.453125" style="1" customWidth="1"/>
    <col min="1273" max="1273" width="4.81640625" style="1" customWidth="1"/>
    <col min="1274" max="1274" width="4.54296875" style="1" customWidth="1"/>
    <col min="1275" max="1278" width="9.453125" style="1" customWidth="1"/>
    <col min="1279" max="1515" width="6.81640625" style="1" customWidth="1"/>
    <col min="1516" max="1516" width="5.453125" style="1" customWidth="1"/>
    <col min="1517" max="1517" width="11.81640625" style="1" customWidth="1"/>
    <col min="1518" max="1518" width="18.453125" style="1" customWidth="1"/>
    <col min="1519" max="1519" width="9.26953125" style="1" customWidth="1"/>
    <col min="1520" max="1521" width="9.453125" style="1" customWidth="1"/>
    <col min="1522" max="1522" width="6.26953125" style="1" customWidth="1"/>
    <col min="1523" max="1523" width="3.1796875" style="1" customWidth="1"/>
    <col min="1524" max="1524" width="5.7265625" style="1" customWidth="1"/>
    <col min="1525" max="1525" width="3.7265625" style="1" customWidth="1"/>
    <col min="1526" max="1526" width="7.54296875" style="1" customWidth="1"/>
    <col min="1527" max="1527" width="1.81640625" style="1" customWidth="1"/>
    <col min="1528" max="1528" width="9.453125" style="1" customWidth="1"/>
    <col min="1529" max="1529" width="4.81640625" style="1" customWidth="1"/>
    <col min="1530" max="1530" width="4.54296875" style="1" customWidth="1"/>
    <col min="1531" max="1534" width="9.453125" style="1" customWidth="1"/>
    <col min="1535" max="1771" width="6.81640625" style="1" customWidth="1"/>
    <col min="1772" max="1772" width="5.453125" style="1" customWidth="1"/>
    <col min="1773" max="1773" width="11.81640625" style="1" customWidth="1"/>
    <col min="1774" max="1774" width="18.453125" style="1" customWidth="1"/>
    <col min="1775" max="1775" width="9.26953125" style="1" customWidth="1"/>
    <col min="1776" max="1777" width="9.453125" style="1" customWidth="1"/>
    <col min="1778" max="1778" width="6.26953125" style="1" customWidth="1"/>
    <col min="1779" max="1779" width="3.1796875" style="1" customWidth="1"/>
    <col min="1780" max="1780" width="5.7265625" style="1" customWidth="1"/>
    <col min="1781" max="1781" width="3.7265625" style="1" customWidth="1"/>
    <col min="1782" max="1782" width="7.54296875" style="1" customWidth="1"/>
    <col min="1783" max="1783" width="1.81640625" style="1" customWidth="1"/>
    <col min="1784" max="1784" width="9.453125" style="1" customWidth="1"/>
    <col min="1785" max="1785" width="4.81640625" style="1" customWidth="1"/>
    <col min="1786" max="1786" width="4.54296875" style="1" customWidth="1"/>
    <col min="1787" max="1790" width="9.453125" style="1" customWidth="1"/>
    <col min="1791" max="2027" width="6.81640625" style="1" customWidth="1"/>
    <col min="2028" max="2028" width="5.453125" style="1" customWidth="1"/>
    <col min="2029" max="2029" width="11.81640625" style="1" customWidth="1"/>
    <col min="2030" max="2030" width="18.453125" style="1" customWidth="1"/>
    <col min="2031" max="2031" width="9.26953125" style="1" customWidth="1"/>
    <col min="2032" max="2033" width="9.453125" style="1" customWidth="1"/>
    <col min="2034" max="2034" width="6.26953125" style="1" customWidth="1"/>
    <col min="2035" max="2035" width="3.1796875" style="1" customWidth="1"/>
    <col min="2036" max="2036" width="5.7265625" style="1" customWidth="1"/>
    <col min="2037" max="2037" width="3.7265625" style="1" customWidth="1"/>
    <col min="2038" max="2038" width="7.54296875" style="1" customWidth="1"/>
    <col min="2039" max="2039" width="1.81640625" style="1" customWidth="1"/>
    <col min="2040" max="2040" width="9.453125" style="1" customWidth="1"/>
    <col min="2041" max="2041" width="4.81640625" style="1" customWidth="1"/>
    <col min="2042" max="2042" width="4.54296875" style="1" customWidth="1"/>
    <col min="2043" max="2046" width="9.453125" style="1" customWidth="1"/>
    <col min="2047" max="2283" width="6.81640625" style="1" customWidth="1"/>
    <col min="2284" max="2284" width="5.453125" style="1" customWidth="1"/>
    <col min="2285" max="2285" width="11.81640625" style="1" customWidth="1"/>
    <col min="2286" max="2286" width="18.453125" style="1" customWidth="1"/>
    <col min="2287" max="2287" width="9.26953125" style="1" customWidth="1"/>
    <col min="2288" max="2289" width="9.453125" style="1" customWidth="1"/>
    <col min="2290" max="2290" width="6.26953125" style="1" customWidth="1"/>
    <col min="2291" max="2291" width="3.1796875" style="1" customWidth="1"/>
    <col min="2292" max="2292" width="5.7265625" style="1" customWidth="1"/>
    <col min="2293" max="2293" width="3.7265625" style="1" customWidth="1"/>
    <col min="2294" max="2294" width="7.54296875" style="1" customWidth="1"/>
    <col min="2295" max="2295" width="1.81640625" style="1" customWidth="1"/>
    <col min="2296" max="2296" width="9.453125" style="1" customWidth="1"/>
    <col min="2297" max="2297" width="4.81640625" style="1" customWidth="1"/>
    <col min="2298" max="2298" width="4.54296875" style="1" customWidth="1"/>
    <col min="2299" max="2302" width="9.453125" style="1" customWidth="1"/>
    <col min="2303" max="2539" width="6.81640625" style="1" customWidth="1"/>
    <col min="2540" max="2540" width="5.453125" style="1" customWidth="1"/>
    <col min="2541" max="2541" width="11.81640625" style="1" customWidth="1"/>
    <col min="2542" max="2542" width="18.453125" style="1" customWidth="1"/>
    <col min="2543" max="2543" width="9.26953125" style="1" customWidth="1"/>
    <col min="2544" max="2545" width="9.453125" style="1" customWidth="1"/>
    <col min="2546" max="2546" width="6.26953125" style="1" customWidth="1"/>
    <col min="2547" max="2547" width="3.1796875" style="1" customWidth="1"/>
    <col min="2548" max="2548" width="5.7265625" style="1" customWidth="1"/>
    <col min="2549" max="2549" width="3.7265625" style="1" customWidth="1"/>
    <col min="2550" max="2550" width="7.54296875" style="1" customWidth="1"/>
    <col min="2551" max="2551" width="1.81640625" style="1" customWidth="1"/>
    <col min="2552" max="2552" width="9.453125" style="1" customWidth="1"/>
    <col min="2553" max="2553" width="4.81640625" style="1" customWidth="1"/>
    <col min="2554" max="2554" width="4.54296875" style="1" customWidth="1"/>
    <col min="2555" max="2558" width="9.453125" style="1" customWidth="1"/>
    <col min="2559" max="2795" width="6.81640625" style="1" customWidth="1"/>
    <col min="2796" max="2796" width="5.453125" style="1" customWidth="1"/>
    <col min="2797" max="2797" width="11.81640625" style="1" customWidth="1"/>
    <col min="2798" max="2798" width="18.453125" style="1" customWidth="1"/>
    <col min="2799" max="2799" width="9.26953125" style="1" customWidth="1"/>
    <col min="2800" max="2801" width="9.453125" style="1" customWidth="1"/>
    <col min="2802" max="2802" width="6.26953125" style="1" customWidth="1"/>
    <col min="2803" max="2803" width="3.1796875" style="1" customWidth="1"/>
    <col min="2804" max="2804" width="5.7265625" style="1" customWidth="1"/>
    <col min="2805" max="2805" width="3.7265625" style="1" customWidth="1"/>
    <col min="2806" max="2806" width="7.54296875" style="1" customWidth="1"/>
    <col min="2807" max="2807" width="1.81640625" style="1" customWidth="1"/>
    <col min="2808" max="2808" width="9.453125" style="1" customWidth="1"/>
    <col min="2809" max="2809" width="4.81640625" style="1" customWidth="1"/>
    <col min="2810" max="2810" width="4.54296875" style="1" customWidth="1"/>
    <col min="2811" max="2814" width="9.453125" style="1" customWidth="1"/>
    <col min="2815" max="3051" width="6.81640625" style="1" customWidth="1"/>
    <col min="3052" max="3052" width="5.453125" style="1" customWidth="1"/>
    <col min="3053" max="3053" width="11.81640625" style="1" customWidth="1"/>
    <col min="3054" max="3054" width="18.453125" style="1" customWidth="1"/>
    <col min="3055" max="3055" width="9.26953125" style="1" customWidth="1"/>
    <col min="3056" max="3057" width="9.453125" style="1" customWidth="1"/>
    <col min="3058" max="3058" width="6.26953125" style="1" customWidth="1"/>
    <col min="3059" max="3059" width="3.1796875" style="1" customWidth="1"/>
    <col min="3060" max="3060" width="5.7265625" style="1" customWidth="1"/>
    <col min="3061" max="3061" width="3.7265625" style="1" customWidth="1"/>
    <col min="3062" max="3062" width="7.54296875" style="1" customWidth="1"/>
    <col min="3063" max="3063" width="1.81640625" style="1" customWidth="1"/>
    <col min="3064" max="3064" width="9.453125" style="1" customWidth="1"/>
    <col min="3065" max="3065" width="4.81640625" style="1" customWidth="1"/>
    <col min="3066" max="3066" width="4.54296875" style="1" customWidth="1"/>
    <col min="3067" max="3070" width="9.453125" style="1" customWidth="1"/>
    <col min="3071" max="3307" width="6.81640625" style="1" customWidth="1"/>
    <col min="3308" max="3308" width="5.453125" style="1" customWidth="1"/>
    <col min="3309" max="3309" width="11.81640625" style="1" customWidth="1"/>
    <col min="3310" max="3310" width="18.453125" style="1" customWidth="1"/>
    <col min="3311" max="3311" width="9.26953125" style="1" customWidth="1"/>
    <col min="3312" max="3313" width="9.453125" style="1" customWidth="1"/>
    <col min="3314" max="3314" width="6.26953125" style="1" customWidth="1"/>
    <col min="3315" max="3315" width="3.1796875" style="1" customWidth="1"/>
    <col min="3316" max="3316" width="5.7265625" style="1" customWidth="1"/>
    <col min="3317" max="3317" width="3.7265625" style="1" customWidth="1"/>
    <col min="3318" max="3318" width="7.54296875" style="1" customWidth="1"/>
    <col min="3319" max="3319" width="1.81640625" style="1" customWidth="1"/>
    <col min="3320" max="3320" width="9.453125" style="1" customWidth="1"/>
    <col min="3321" max="3321" width="4.81640625" style="1" customWidth="1"/>
    <col min="3322" max="3322" width="4.54296875" style="1" customWidth="1"/>
    <col min="3323" max="3326" width="9.453125" style="1" customWidth="1"/>
    <col min="3327" max="3563" width="6.81640625" style="1" customWidth="1"/>
    <col min="3564" max="3564" width="5.453125" style="1" customWidth="1"/>
    <col min="3565" max="3565" width="11.81640625" style="1" customWidth="1"/>
    <col min="3566" max="3566" width="18.453125" style="1" customWidth="1"/>
    <col min="3567" max="3567" width="9.26953125" style="1" customWidth="1"/>
    <col min="3568" max="3569" width="9.453125" style="1" customWidth="1"/>
    <col min="3570" max="3570" width="6.26953125" style="1" customWidth="1"/>
    <col min="3571" max="3571" width="3.1796875" style="1" customWidth="1"/>
    <col min="3572" max="3572" width="5.7265625" style="1" customWidth="1"/>
    <col min="3573" max="3573" width="3.7265625" style="1" customWidth="1"/>
    <col min="3574" max="3574" width="7.54296875" style="1" customWidth="1"/>
    <col min="3575" max="3575" width="1.81640625" style="1" customWidth="1"/>
    <col min="3576" max="3576" width="9.453125" style="1" customWidth="1"/>
    <col min="3577" max="3577" width="4.81640625" style="1" customWidth="1"/>
    <col min="3578" max="3578" width="4.54296875" style="1" customWidth="1"/>
    <col min="3579" max="3582" width="9.453125" style="1" customWidth="1"/>
    <col min="3583" max="3819" width="6.81640625" style="1" customWidth="1"/>
    <col min="3820" max="3820" width="5.453125" style="1" customWidth="1"/>
    <col min="3821" max="3821" width="11.81640625" style="1" customWidth="1"/>
    <col min="3822" max="3822" width="18.453125" style="1" customWidth="1"/>
    <col min="3823" max="3823" width="9.26953125" style="1" customWidth="1"/>
    <col min="3824" max="3825" width="9.453125" style="1" customWidth="1"/>
    <col min="3826" max="3826" width="6.26953125" style="1" customWidth="1"/>
    <col min="3827" max="3827" width="3.1796875" style="1" customWidth="1"/>
    <col min="3828" max="3828" width="5.7265625" style="1" customWidth="1"/>
    <col min="3829" max="3829" width="3.7265625" style="1" customWidth="1"/>
    <col min="3830" max="3830" width="7.54296875" style="1" customWidth="1"/>
    <col min="3831" max="3831" width="1.81640625" style="1" customWidth="1"/>
    <col min="3832" max="3832" width="9.453125" style="1" customWidth="1"/>
    <col min="3833" max="3833" width="4.81640625" style="1" customWidth="1"/>
    <col min="3834" max="3834" width="4.54296875" style="1" customWidth="1"/>
    <col min="3835" max="3838" width="9.453125" style="1" customWidth="1"/>
    <col min="3839" max="4075" width="6.81640625" style="1" customWidth="1"/>
    <col min="4076" max="4076" width="5.453125" style="1" customWidth="1"/>
    <col min="4077" max="4077" width="11.81640625" style="1" customWidth="1"/>
    <col min="4078" max="4078" width="18.453125" style="1" customWidth="1"/>
    <col min="4079" max="4079" width="9.26953125" style="1" customWidth="1"/>
    <col min="4080" max="4081" width="9.453125" style="1" customWidth="1"/>
    <col min="4082" max="4082" width="6.26953125" style="1" customWidth="1"/>
    <col min="4083" max="4083" width="3.1796875" style="1" customWidth="1"/>
    <col min="4084" max="4084" width="5.7265625" style="1" customWidth="1"/>
    <col min="4085" max="4085" width="3.7265625" style="1" customWidth="1"/>
    <col min="4086" max="4086" width="7.54296875" style="1" customWidth="1"/>
    <col min="4087" max="4087" width="1.81640625" style="1" customWidth="1"/>
    <col min="4088" max="4088" width="9.453125" style="1" customWidth="1"/>
    <col min="4089" max="4089" width="4.81640625" style="1" customWidth="1"/>
    <col min="4090" max="4090" width="4.54296875" style="1" customWidth="1"/>
    <col min="4091" max="4094" width="9.453125" style="1" customWidth="1"/>
    <col min="4095" max="4331" width="6.81640625" style="1" customWidth="1"/>
    <col min="4332" max="4332" width="5.453125" style="1" customWidth="1"/>
    <col min="4333" max="4333" width="11.81640625" style="1" customWidth="1"/>
    <col min="4334" max="4334" width="18.453125" style="1" customWidth="1"/>
    <col min="4335" max="4335" width="9.26953125" style="1" customWidth="1"/>
    <col min="4336" max="4337" width="9.453125" style="1" customWidth="1"/>
    <col min="4338" max="4338" width="6.26953125" style="1" customWidth="1"/>
    <col min="4339" max="4339" width="3.1796875" style="1" customWidth="1"/>
    <col min="4340" max="4340" width="5.7265625" style="1" customWidth="1"/>
    <col min="4341" max="4341" width="3.7265625" style="1" customWidth="1"/>
    <col min="4342" max="4342" width="7.54296875" style="1" customWidth="1"/>
    <col min="4343" max="4343" width="1.81640625" style="1" customWidth="1"/>
    <col min="4344" max="4344" width="9.453125" style="1" customWidth="1"/>
    <col min="4345" max="4345" width="4.81640625" style="1" customWidth="1"/>
    <col min="4346" max="4346" width="4.54296875" style="1" customWidth="1"/>
    <col min="4347" max="4350" width="9.453125" style="1" customWidth="1"/>
    <col min="4351" max="4587" width="6.81640625" style="1" customWidth="1"/>
    <col min="4588" max="4588" width="5.453125" style="1" customWidth="1"/>
    <col min="4589" max="4589" width="11.81640625" style="1" customWidth="1"/>
    <col min="4590" max="4590" width="18.453125" style="1" customWidth="1"/>
    <col min="4591" max="4591" width="9.26953125" style="1" customWidth="1"/>
    <col min="4592" max="4593" width="9.453125" style="1" customWidth="1"/>
    <col min="4594" max="4594" width="6.26953125" style="1" customWidth="1"/>
    <col min="4595" max="4595" width="3.1796875" style="1" customWidth="1"/>
    <col min="4596" max="4596" width="5.7265625" style="1" customWidth="1"/>
    <col min="4597" max="4597" width="3.7265625" style="1" customWidth="1"/>
    <col min="4598" max="4598" width="7.54296875" style="1" customWidth="1"/>
    <col min="4599" max="4599" width="1.81640625" style="1" customWidth="1"/>
    <col min="4600" max="4600" width="9.453125" style="1" customWidth="1"/>
    <col min="4601" max="4601" width="4.81640625" style="1" customWidth="1"/>
    <col min="4602" max="4602" width="4.54296875" style="1" customWidth="1"/>
    <col min="4603" max="4606" width="9.453125" style="1" customWidth="1"/>
    <col min="4607" max="4843" width="6.81640625" style="1" customWidth="1"/>
    <col min="4844" max="4844" width="5.453125" style="1" customWidth="1"/>
    <col min="4845" max="4845" width="11.81640625" style="1" customWidth="1"/>
    <col min="4846" max="4846" width="18.453125" style="1" customWidth="1"/>
    <col min="4847" max="4847" width="9.26953125" style="1" customWidth="1"/>
    <col min="4848" max="4849" width="9.453125" style="1" customWidth="1"/>
    <col min="4850" max="4850" width="6.26953125" style="1" customWidth="1"/>
    <col min="4851" max="4851" width="3.1796875" style="1" customWidth="1"/>
    <col min="4852" max="4852" width="5.7265625" style="1" customWidth="1"/>
    <col min="4853" max="4853" width="3.7265625" style="1" customWidth="1"/>
    <col min="4854" max="4854" width="7.54296875" style="1" customWidth="1"/>
    <col min="4855" max="4855" width="1.81640625" style="1" customWidth="1"/>
    <col min="4856" max="4856" width="9.453125" style="1" customWidth="1"/>
    <col min="4857" max="4857" width="4.81640625" style="1" customWidth="1"/>
    <col min="4858" max="4858" width="4.54296875" style="1" customWidth="1"/>
    <col min="4859" max="4862" width="9.453125" style="1" customWidth="1"/>
    <col min="4863" max="5099" width="6.81640625" style="1" customWidth="1"/>
    <col min="5100" max="5100" width="5.453125" style="1" customWidth="1"/>
    <col min="5101" max="5101" width="11.81640625" style="1" customWidth="1"/>
    <col min="5102" max="5102" width="18.453125" style="1" customWidth="1"/>
    <col min="5103" max="5103" width="9.26953125" style="1" customWidth="1"/>
    <col min="5104" max="5105" width="9.453125" style="1" customWidth="1"/>
    <col min="5106" max="5106" width="6.26953125" style="1" customWidth="1"/>
    <col min="5107" max="5107" width="3.1796875" style="1" customWidth="1"/>
    <col min="5108" max="5108" width="5.7265625" style="1" customWidth="1"/>
    <col min="5109" max="5109" width="3.7265625" style="1" customWidth="1"/>
    <col min="5110" max="5110" width="7.54296875" style="1" customWidth="1"/>
    <col min="5111" max="5111" width="1.81640625" style="1" customWidth="1"/>
    <col min="5112" max="5112" width="9.453125" style="1" customWidth="1"/>
    <col min="5113" max="5113" width="4.81640625" style="1" customWidth="1"/>
    <col min="5114" max="5114" width="4.54296875" style="1" customWidth="1"/>
    <col min="5115" max="5118" width="9.453125" style="1" customWidth="1"/>
    <col min="5119" max="5355" width="6.81640625" style="1" customWidth="1"/>
    <col min="5356" max="5356" width="5.453125" style="1" customWidth="1"/>
    <col min="5357" max="5357" width="11.81640625" style="1" customWidth="1"/>
    <col min="5358" max="5358" width="18.453125" style="1" customWidth="1"/>
    <col min="5359" max="5359" width="9.26953125" style="1" customWidth="1"/>
    <col min="5360" max="5361" width="9.453125" style="1" customWidth="1"/>
    <col min="5362" max="5362" width="6.26953125" style="1" customWidth="1"/>
    <col min="5363" max="5363" width="3.1796875" style="1" customWidth="1"/>
    <col min="5364" max="5364" width="5.7265625" style="1" customWidth="1"/>
    <col min="5365" max="5365" width="3.7265625" style="1" customWidth="1"/>
    <col min="5366" max="5366" width="7.54296875" style="1" customWidth="1"/>
    <col min="5367" max="5367" width="1.81640625" style="1" customWidth="1"/>
    <col min="5368" max="5368" width="9.453125" style="1" customWidth="1"/>
    <col min="5369" max="5369" width="4.81640625" style="1" customWidth="1"/>
    <col min="5370" max="5370" width="4.54296875" style="1" customWidth="1"/>
    <col min="5371" max="5374" width="9.453125" style="1" customWidth="1"/>
    <col min="5375" max="5611" width="6.81640625" style="1" customWidth="1"/>
    <col min="5612" max="5612" width="5.453125" style="1" customWidth="1"/>
    <col min="5613" max="5613" width="11.81640625" style="1" customWidth="1"/>
    <col min="5614" max="5614" width="18.453125" style="1" customWidth="1"/>
    <col min="5615" max="5615" width="9.26953125" style="1" customWidth="1"/>
    <col min="5616" max="5617" width="9.453125" style="1" customWidth="1"/>
    <col min="5618" max="5618" width="6.26953125" style="1" customWidth="1"/>
    <col min="5619" max="5619" width="3.1796875" style="1" customWidth="1"/>
    <col min="5620" max="5620" width="5.7265625" style="1" customWidth="1"/>
    <col min="5621" max="5621" width="3.7265625" style="1" customWidth="1"/>
    <col min="5622" max="5622" width="7.54296875" style="1" customWidth="1"/>
    <col min="5623" max="5623" width="1.81640625" style="1" customWidth="1"/>
    <col min="5624" max="5624" width="9.453125" style="1" customWidth="1"/>
    <col min="5625" max="5625" width="4.81640625" style="1" customWidth="1"/>
    <col min="5626" max="5626" width="4.54296875" style="1" customWidth="1"/>
    <col min="5627" max="5630" width="9.453125" style="1" customWidth="1"/>
    <col min="5631" max="5867" width="6.81640625" style="1" customWidth="1"/>
    <col min="5868" max="5868" width="5.453125" style="1" customWidth="1"/>
    <col min="5869" max="5869" width="11.81640625" style="1" customWidth="1"/>
    <col min="5870" max="5870" width="18.453125" style="1" customWidth="1"/>
    <col min="5871" max="5871" width="9.26953125" style="1" customWidth="1"/>
    <col min="5872" max="5873" width="9.453125" style="1" customWidth="1"/>
    <col min="5874" max="5874" width="6.26953125" style="1" customWidth="1"/>
    <col min="5875" max="5875" width="3.1796875" style="1" customWidth="1"/>
    <col min="5876" max="5876" width="5.7265625" style="1" customWidth="1"/>
    <col min="5877" max="5877" width="3.7265625" style="1" customWidth="1"/>
    <col min="5878" max="5878" width="7.54296875" style="1" customWidth="1"/>
    <col min="5879" max="5879" width="1.81640625" style="1" customWidth="1"/>
    <col min="5880" max="5880" width="9.453125" style="1" customWidth="1"/>
    <col min="5881" max="5881" width="4.81640625" style="1" customWidth="1"/>
    <col min="5882" max="5882" width="4.54296875" style="1" customWidth="1"/>
    <col min="5883" max="5886" width="9.453125" style="1" customWidth="1"/>
    <col min="5887" max="6123" width="6.81640625" style="1" customWidth="1"/>
    <col min="6124" max="6124" width="5.453125" style="1" customWidth="1"/>
    <col min="6125" max="6125" width="11.81640625" style="1" customWidth="1"/>
    <col min="6126" max="6126" width="18.453125" style="1" customWidth="1"/>
    <col min="6127" max="6127" width="9.26953125" style="1" customWidth="1"/>
    <col min="6128" max="6129" width="9.453125" style="1" customWidth="1"/>
    <col min="6130" max="6130" width="6.26953125" style="1" customWidth="1"/>
    <col min="6131" max="6131" width="3.1796875" style="1" customWidth="1"/>
    <col min="6132" max="6132" width="5.7265625" style="1" customWidth="1"/>
    <col min="6133" max="6133" width="3.7265625" style="1" customWidth="1"/>
    <col min="6134" max="6134" width="7.54296875" style="1" customWidth="1"/>
    <col min="6135" max="6135" width="1.81640625" style="1" customWidth="1"/>
    <col min="6136" max="6136" width="9.453125" style="1" customWidth="1"/>
    <col min="6137" max="6137" width="4.81640625" style="1" customWidth="1"/>
    <col min="6138" max="6138" width="4.54296875" style="1" customWidth="1"/>
    <col min="6139" max="6142" width="9.453125" style="1" customWidth="1"/>
    <col min="6143" max="6379" width="6.81640625" style="1" customWidth="1"/>
    <col min="6380" max="6380" width="5.453125" style="1" customWidth="1"/>
    <col min="6381" max="6381" width="11.81640625" style="1" customWidth="1"/>
    <col min="6382" max="6382" width="18.453125" style="1" customWidth="1"/>
    <col min="6383" max="6383" width="9.26953125" style="1" customWidth="1"/>
    <col min="6384" max="6385" width="9.453125" style="1" customWidth="1"/>
    <col min="6386" max="6386" width="6.26953125" style="1" customWidth="1"/>
    <col min="6387" max="6387" width="3.1796875" style="1" customWidth="1"/>
    <col min="6388" max="6388" width="5.7265625" style="1" customWidth="1"/>
    <col min="6389" max="6389" width="3.7265625" style="1" customWidth="1"/>
    <col min="6390" max="6390" width="7.54296875" style="1" customWidth="1"/>
    <col min="6391" max="6391" width="1.81640625" style="1" customWidth="1"/>
    <col min="6392" max="6392" width="9.453125" style="1" customWidth="1"/>
    <col min="6393" max="6393" width="4.81640625" style="1" customWidth="1"/>
    <col min="6394" max="6394" width="4.54296875" style="1" customWidth="1"/>
    <col min="6395" max="6398" width="9.453125" style="1" customWidth="1"/>
    <col min="6399" max="6635" width="6.81640625" style="1" customWidth="1"/>
    <col min="6636" max="6636" width="5.453125" style="1" customWidth="1"/>
    <col min="6637" max="6637" width="11.81640625" style="1" customWidth="1"/>
    <col min="6638" max="6638" width="18.453125" style="1" customWidth="1"/>
    <col min="6639" max="6639" width="9.26953125" style="1" customWidth="1"/>
    <col min="6640" max="6641" width="9.453125" style="1" customWidth="1"/>
    <col min="6642" max="6642" width="6.26953125" style="1" customWidth="1"/>
    <col min="6643" max="6643" width="3.1796875" style="1" customWidth="1"/>
    <col min="6644" max="6644" width="5.7265625" style="1" customWidth="1"/>
    <col min="6645" max="6645" width="3.7265625" style="1" customWidth="1"/>
    <col min="6646" max="6646" width="7.54296875" style="1" customWidth="1"/>
    <col min="6647" max="6647" width="1.81640625" style="1" customWidth="1"/>
    <col min="6648" max="6648" width="9.453125" style="1" customWidth="1"/>
    <col min="6649" max="6649" width="4.81640625" style="1" customWidth="1"/>
    <col min="6650" max="6650" width="4.54296875" style="1" customWidth="1"/>
    <col min="6651" max="6654" width="9.453125" style="1" customWidth="1"/>
    <col min="6655" max="6891" width="6.81640625" style="1" customWidth="1"/>
    <col min="6892" max="6892" width="5.453125" style="1" customWidth="1"/>
    <col min="6893" max="6893" width="11.81640625" style="1" customWidth="1"/>
    <col min="6894" max="6894" width="18.453125" style="1" customWidth="1"/>
    <col min="6895" max="6895" width="9.26953125" style="1" customWidth="1"/>
    <col min="6896" max="6897" width="9.453125" style="1" customWidth="1"/>
    <col min="6898" max="6898" width="6.26953125" style="1" customWidth="1"/>
    <col min="6899" max="6899" width="3.1796875" style="1" customWidth="1"/>
    <col min="6900" max="6900" width="5.7265625" style="1" customWidth="1"/>
    <col min="6901" max="6901" width="3.7265625" style="1" customWidth="1"/>
    <col min="6902" max="6902" width="7.54296875" style="1" customWidth="1"/>
    <col min="6903" max="6903" width="1.81640625" style="1" customWidth="1"/>
    <col min="6904" max="6904" width="9.453125" style="1" customWidth="1"/>
    <col min="6905" max="6905" width="4.81640625" style="1" customWidth="1"/>
    <col min="6906" max="6906" width="4.54296875" style="1" customWidth="1"/>
    <col min="6907" max="6910" width="9.453125" style="1" customWidth="1"/>
    <col min="6911" max="7147" width="6.81640625" style="1" customWidth="1"/>
    <col min="7148" max="7148" width="5.453125" style="1" customWidth="1"/>
    <col min="7149" max="7149" width="11.81640625" style="1" customWidth="1"/>
    <col min="7150" max="7150" width="18.453125" style="1" customWidth="1"/>
    <col min="7151" max="7151" width="9.26953125" style="1" customWidth="1"/>
    <col min="7152" max="7153" width="9.453125" style="1" customWidth="1"/>
    <col min="7154" max="7154" width="6.26953125" style="1" customWidth="1"/>
    <col min="7155" max="7155" width="3.1796875" style="1" customWidth="1"/>
    <col min="7156" max="7156" width="5.7265625" style="1" customWidth="1"/>
    <col min="7157" max="7157" width="3.7265625" style="1" customWidth="1"/>
    <col min="7158" max="7158" width="7.54296875" style="1" customWidth="1"/>
    <col min="7159" max="7159" width="1.81640625" style="1" customWidth="1"/>
    <col min="7160" max="7160" width="9.453125" style="1" customWidth="1"/>
    <col min="7161" max="7161" width="4.81640625" style="1" customWidth="1"/>
    <col min="7162" max="7162" width="4.54296875" style="1" customWidth="1"/>
    <col min="7163" max="7166" width="9.453125" style="1" customWidth="1"/>
    <col min="7167" max="7403" width="6.81640625" style="1" customWidth="1"/>
    <col min="7404" max="7404" width="5.453125" style="1" customWidth="1"/>
    <col min="7405" max="7405" width="11.81640625" style="1" customWidth="1"/>
    <col min="7406" max="7406" width="18.453125" style="1" customWidth="1"/>
    <col min="7407" max="7407" width="9.26953125" style="1" customWidth="1"/>
    <col min="7408" max="7409" width="9.453125" style="1" customWidth="1"/>
    <col min="7410" max="7410" width="6.26953125" style="1" customWidth="1"/>
    <col min="7411" max="7411" width="3.1796875" style="1" customWidth="1"/>
    <col min="7412" max="7412" width="5.7265625" style="1" customWidth="1"/>
    <col min="7413" max="7413" width="3.7265625" style="1" customWidth="1"/>
    <col min="7414" max="7414" width="7.54296875" style="1" customWidth="1"/>
    <col min="7415" max="7415" width="1.81640625" style="1" customWidth="1"/>
    <col min="7416" max="7416" width="9.453125" style="1" customWidth="1"/>
    <col min="7417" max="7417" width="4.81640625" style="1" customWidth="1"/>
    <col min="7418" max="7418" width="4.54296875" style="1" customWidth="1"/>
    <col min="7419" max="7422" width="9.453125" style="1" customWidth="1"/>
    <col min="7423" max="7659" width="6.81640625" style="1" customWidth="1"/>
    <col min="7660" max="7660" width="5.453125" style="1" customWidth="1"/>
    <col min="7661" max="7661" width="11.81640625" style="1" customWidth="1"/>
    <col min="7662" max="7662" width="18.453125" style="1" customWidth="1"/>
    <col min="7663" max="7663" width="9.26953125" style="1" customWidth="1"/>
    <col min="7664" max="7665" width="9.453125" style="1" customWidth="1"/>
    <col min="7666" max="7666" width="6.26953125" style="1" customWidth="1"/>
    <col min="7667" max="7667" width="3.1796875" style="1" customWidth="1"/>
    <col min="7668" max="7668" width="5.7265625" style="1" customWidth="1"/>
    <col min="7669" max="7669" width="3.7265625" style="1" customWidth="1"/>
    <col min="7670" max="7670" width="7.54296875" style="1" customWidth="1"/>
    <col min="7671" max="7671" width="1.81640625" style="1" customWidth="1"/>
    <col min="7672" max="7672" width="9.453125" style="1" customWidth="1"/>
    <col min="7673" max="7673" width="4.81640625" style="1" customWidth="1"/>
    <col min="7674" max="7674" width="4.54296875" style="1" customWidth="1"/>
    <col min="7675" max="7678" width="9.453125" style="1" customWidth="1"/>
    <col min="7679" max="7915" width="6.81640625" style="1" customWidth="1"/>
    <col min="7916" max="7916" width="5.453125" style="1" customWidth="1"/>
    <col min="7917" max="7917" width="11.81640625" style="1" customWidth="1"/>
    <col min="7918" max="7918" width="18.453125" style="1" customWidth="1"/>
    <col min="7919" max="7919" width="9.26953125" style="1" customWidth="1"/>
    <col min="7920" max="7921" width="9.453125" style="1" customWidth="1"/>
    <col min="7922" max="7922" width="6.26953125" style="1" customWidth="1"/>
    <col min="7923" max="7923" width="3.1796875" style="1" customWidth="1"/>
    <col min="7924" max="7924" width="5.7265625" style="1" customWidth="1"/>
    <col min="7925" max="7925" width="3.7265625" style="1" customWidth="1"/>
    <col min="7926" max="7926" width="7.54296875" style="1" customWidth="1"/>
    <col min="7927" max="7927" width="1.81640625" style="1" customWidth="1"/>
    <col min="7928" max="7928" width="9.453125" style="1" customWidth="1"/>
    <col min="7929" max="7929" width="4.81640625" style="1" customWidth="1"/>
    <col min="7930" max="7930" width="4.54296875" style="1" customWidth="1"/>
    <col min="7931" max="7934" width="9.453125" style="1" customWidth="1"/>
    <col min="7935" max="8171" width="6.81640625" style="1" customWidth="1"/>
    <col min="8172" max="8172" width="5.453125" style="1" customWidth="1"/>
    <col min="8173" max="8173" width="11.81640625" style="1" customWidth="1"/>
    <col min="8174" max="8174" width="18.453125" style="1" customWidth="1"/>
    <col min="8175" max="8175" width="9.26953125" style="1" customWidth="1"/>
    <col min="8176" max="8177" width="9.453125" style="1" customWidth="1"/>
    <col min="8178" max="8178" width="6.26953125" style="1" customWidth="1"/>
    <col min="8179" max="8179" width="3.1796875" style="1" customWidth="1"/>
    <col min="8180" max="8180" width="5.7265625" style="1" customWidth="1"/>
    <col min="8181" max="8181" width="3.7265625" style="1" customWidth="1"/>
    <col min="8182" max="8182" width="7.54296875" style="1" customWidth="1"/>
    <col min="8183" max="8183" width="1.81640625" style="1" customWidth="1"/>
    <col min="8184" max="8184" width="9.453125" style="1" customWidth="1"/>
    <col min="8185" max="8185" width="4.81640625" style="1" customWidth="1"/>
    <col min="8186" max="8186" width="4.54296875" style="1" customWidth="1"/>
    <col min="8187" max="8190" width="9.453125" style="1" customWidth="1"/>
    <col min="8191" max="8427" width="6.81640625" style="1" customWidth="1"/>
    <col min="8428" max="8428" width="5.453125" style="1" customWidth="1"/>
    <col min="8429" max="8429" width="11.81640625" style="1" customWidth="1"/>
    <col min="8430" max="8430" width="18.453125" style="1" customWidth="1"/>
    <col min="8431" max="8431" width="9.26953125" style="1" customWidth="1"/>
    <col min="8432" max="8433" width="9.453125" style="1" customWidth="1"/>
    <col min="8434" max="8434" width="6.26953125" style="1" customWidth="1"/>
    <col min="8435" max="8435" width="3.1796875" style="1" customWidth="1"/>
    <col min="8436" max="8436" width="5.7265625" style="1" customWidth="1"/>
    <col min="8437" max="8437" width="3.7265625" style="1" customWidth="1"/>
    <col min="8438" max="8438" width="7.54296875" style="1" customWidth="1"/>
    <col min="8439" max="8439" width="1.81640625" style="1" customWidth="1"/>
    <col min="8440" max="8440" width="9.453125" style="1" customWidth="1"/>
    <col min="8441" max="8441" width="4.81640625" style="1" customWidth="1"/>
    <col min="8442" max="8442" width="4.54296875" style="1" customWidth="1"/>
    <col min="8443" max="8446" width="9.453125" style="1" customWidth="1"/>
    <col min="8447" max="8683" width="6.81640625" style="1" customWidth="1"/>
    <col min="8684" max="8684" width="5.453125" style="1" customWidth="1"/>
    <col min="8685" max="8685" width="11.81640625" style="1" customWidth="1"/>
    <col min="8686" max="8686" width="18.453125" style="1" customWidth="1"/>
    <col min="8687" max="8687" width="9.26953125" style="1" customWidth="1"/>
    <col min="8688" max="8689" width="9.453125" style="1" customWidth="1"/>
    <col min="8690" max="8690" width="6.26953125" style="1" customWidth="1"/>
    <col min="8691" max="8691" width="3.1796875" style="1" customWidth="1"/>
    <col min="8692" max="8692" width="5.7265625" style="1" customWidth="1"/>
    <col min="8693" max="8693" width="3.7265625" style="1" customWidth="1"/>
    <col min="8694" max="8694" width="7.54296875" style="1" customWidth="1"/>
    <col min="8695" max="8695" width="1.81640625" style="1" customWidth="1"/>
    <col min="8696" max="8696" width="9.453125" style="1" customWidth="1"/>
    <col min="8697" max="8697" width="4.81640625" style="1" customWidth="1"/>
    <col min="8698" max="8698" width="4.54296875" style="1" customWidth="1"/>
    <col min="8699" max="8702" width="9.453125" style="1" customWidth="1"/>
    <col min="8703" max="8939" width="6.81640625" style="1" customWidth="1"/>
    <col min="8940" max="8940" width="5.453125" style="1" customWidth="1"/>
    <col min="8941" max="8941" width="11.81640625" style="1" customWidth="1"/>
    <col min="8942" max="8942" width="18.453125" style="1" customWidth="1"/>
    <col min="8943" max="8943" width="9.26953125" style="1" customWidth="1"/>
    <col min="8944" max="8945" width="9.453125" style="1" customWidth="1"/>
    <col min="8946" max="8946" width="6.26953125" style="1" customWidth="1"/>
    <col min="8947" max="8947" width="3.1796875" style="1" customWidth="1"/>
    <col min="8948" max="8948" width="5.7265625" style="1" customWidth="1"/>
    <col min="8949" max="8949" width="3.7265625" style="1" customWidth="1"/>
    <col min="8950" max="8950" width="7.54296875" style="1" customWidth="1"/>
    <col min="8951" max="8951" width="1.81640625" style="1" customWidth="1"/>
    <col min="8952" max="8952" width="9.453125" style="1" customWidth="1"/>
    <col min="8953" max="8953" width="4.81640625" style="1" customWidth="1"/>
    <col min="8954" max="8954" width="4.54296875" style="1" customWidth="1"/>
    <col min="8955" max="8958" width="9.453125" style="1" customWidth="1"/>
    <col min="8959" max="9195" width="6.81640625" style="1" customWidth="1"/>
    <col min="9196" max="9196" width="5.453125" style="1" customWidth="1"/>
    <col min="9197" max="9197" width="11.81640625" style="1" customWidth="1"/>
    <col min="9198" max="9198" width="18.453125" style="1" customWidth="1"/>
    <col min="9199" max="9199" width="9.26953125" style="1" customWidth="1"/>
    <col min="9200" max="9201" width="9.453125" style="1" customWidth="1"/>
    <col min="9202" max="9202" width="6.26953125" style="1" customWidth="1"/>
    <col min="9203" max="9203" width="3.1796875" style="1" customWidth="1"/>
    <col min="9204" max="9204" width="5.7265625" style="1" customWidth="1"/>
    <col min="9205" max="9205" width="3.7265625" style="1" customWidth="1"/>
    <col min="9206" max="9206" width="7.54296875" style="1" customWidth="1"/>
    <col min="9207" max="9207" width="1.81640625" style="1" customWidth="1"/>
    <col min="9208" max="9208" width="9.453125" style="1" customWidth="1"/>
    <col min="9209" max="9209" width="4.81640625" style="1" customWidth="1"/>
    <col min="9210" max="9210" width="4.54296875" style="1" customWidth="1"/>
    <col min="9211" max="9214" width="9.453125" style="1" customWidth="1"/>
    <col min="9215" max="9451" width="6.81640625" style="1" customWidth="1"/>
    <col min="9452" max="9452" width="5.453125" style="1" customWidth="1"/>
    <col min="9453" max="9453" width="11.81640625" style="1" customWidth="1"/>
    <col min="9454" max="9454" width="18.453125" style="1" customWidth="1"/>
    <col min="9455" max="9455" width="9.26953125" style="1" customWidth="1"/>
    <col min="9456" max="9457" width="9.453125" style="1" customWidth="1"/>
    <col min="9458" max="9458" width="6.26953125" style="1" customWidth="1"/>
    <col min="9459" max="9459" width="3.1796875" style="1" customWidth="1"/>
    <col min="9460" max="9460" width="5.7265625" style="1" customWidth="1"/>
    <col min="9461" max="9461" width="3.7265625" style="1" customWidth="1"/>
    <col min="9462" max="9462" width="7.54296875" style="1" customWidth="1"/>
    <col min="9463" max="9463" width="1.81640625" style="1" customWidth="1"/>
    <col min="9464" max="9464" width="9.453125" style="1" customWidth="1"/>
    <col min="9465" max="9465" width="4.81640625" style="1" customWidth="1"/>
    <col min="9466" max="9466" width="4.54296875" style="1" customWidth="1"/>
    <col min="9467" max="9470" width="9.453125" style="1" customWidth="1"/>
    <col min="9471" max="9707" width="6.81640625" style="1" customWidth="1"/>
    <col min="9708" max="9708" width="5.453125" style="1" customWidth="1"/>
    <col min="9709" max="9709" width="11.81640625" style="1" customWidth="1"/>
    <col min="9710" max="9710" width="18.453125" style="1" customWidth="1"/>
    <col min="9711" max="9711" width="9.26953125" style="1" customWidth="1"/>
    <col min="9712" max="9713" width="9.453125" style="1" customWidth="1"/>
    <col min="9714" max="9714" width="6.26953125" style="1" customWidth="1"/>
    <col min="9715" max="9715" width="3.1796875" style="1" customWidth="1"/>
    <col min="9716" max="9716" width="5.7265625" style="1" customWidth="1"/>
    <col min="9717" max="9717" width="3.7265625" style="1" customWidth="1"/>
    <col min="9718" max="9718" width="7.54296875" style="1" customWidth="1"/>
    <col min="9719" max="9719" width="1.81640625" style="1" customWidth="1"/>
    <col min="9720" max="9720" width="9.453125" style="1" customWidth="1"/>
    <col min="9721" max="9721" width="4.81640625" style="1" customWidth="1"/>
    <col min="9722" max="9722" width="4.54296875" style="1" customWidth="1"/>
    <col min="9723" max="9726" width="9.453125" style="1" customWidth="1"/>
    <col min="9727" max="9963" width="6.81640625" style="1" customWidth="1"/>
    <col min="9964" max="9964" width="5.453125" style="1" customWidth="1"/>
    <col min="9965" max="9965" width="11.81640625" style="1" customWidth="1"/>
    <col min="9966" max="9966" width="18.453125" style="1" customWidth="1"/>
    <col min="9967" max="9967" width="9.26953125" style="1" customWidth="1"/>
    <col min="9968" max="9969" width="9.453125" style="1" customWidth="1"/>
    <col min="9970" max="9970" width="6.26953125" style="1" customWidth="1"/>
    <col min="9971" max="9971" width="3.1796875" style="1" customWidth="1"/>
    <col min="9972" max="9972" width="5.7265625" style="1" customWidth="1"/>
    <col min="9973" max="9973" width="3.7265625" style="1" customWidth="1"/>
    <col min="9974" max="9974" width="7.54296875" style="1" customWidth="1"/>
    <col min="9975" max="9975" width="1.81640625" style="1" customWidth="1"/>
    <col min="9976" max="9976" width="9.453125" style="1" customWidth="1"/>
    <col min="9977" max="9977" width="4.81640625" style="1" customWidth="1"/>
    <col min="9978" max="9978" width="4.54296875" style="1" customWidth="1"/>
    <col min="9979" max="9982" width="9.453125" style="1" customWidth="1"/>
    <col min="9983" max="10219" width="6.81640625" style="1" customWidth="1"/>
    <col min="10220" max="10220" width="5.453125" style="1" customWidth="1"/>
    <col min="10221" max="10221" width="11.81640625" style="1" customWidth="1"/>
    <col min="10222" max="10222" width="18.453125" style="1" customWidth="1"/>
    <col min="10223" max="10223" width="9.26953125" style="1" customWidth="1"/>
    <col min="10224" max="10225" width="9.453125" style="1" customWidth="1"/>
    <col min="10226" max="10226" width="6.26953125" style="1" customWidth="1"/>
    <col min="10227" max="10227" width="3.1796875" style="1" customWidth="1"/>
    <col min="10228" max="10228" width="5.7265625" style="1" customWidth="1"/>
    <col min="10229" max="10229" width="3.7265625" style="1" customWidth="1"/>
    <col min="10230" max="10230" width="7.54296875" style="1" customWidth="1"/>
    <col min="10231" max="10231" width="1.81640625" style="1" customWidth="1"/>
    <col min="10232" max="10232" width="9.453125" style="1" customWidth="1"/>
    <col min="10233" max="10233" width="4.81640625" style="1" customWidth="1"/>
    <col min="10234" max="10234" width="4.54296875" style="1" customWidth="1"/>
    <col min="10235" max="10238" width="9.453125" style="1" customWidth="1"/>
    <col min="10239" max="10475" width="6.81640625" style="1" customWidth="1"/>
    <col min="10476" max="10476" width="5.453125" style="1" customWidth="1"/>
    <col min="10477" max="10477" width="11.81640625" style="1" customWidth="1"/>
    <col min="10478" max="10478" width="18.453125" style="1" customWidth="1"/>
    <col min="10479" max="10479" width="9.26953125" style="1" customWidth="1"/>
    <col min="10480" max="10481" width="9.453125" style="1" customWidth="1"/>
    <col min="10482" max="10482" width="6.26953125" style="1" customWidth="1"/>
    <col min="10483" max="10483" width="3.1796875" style="1" customWidth="1"/>
    <col min="10484" max="10484" width="5.7265625" style="1" customWidth="1"/>
    <col min="10485" max="10485" width="3.7265625" style="1" customWidth="1"/>
    <col min="10486" max="10486" width="7.54296875" style="1" customWidth="1"/>
    <col min="10487" max="10487" width="1.81640625" style="1" customWidth="1"/>
    <col min="10488" max="10488" width="9.453125" style="1" customWidth="1"/>
    <col min="10489" max="10489" width="4.81640625" style="1" customWidth="1"/>
    <col min="10490" max="10490" width="4.54296875" style="1" customWidth="1"/>
    <col min="10491" max="10494" width="9.453125" style="1" customWidth="1"/>
    <col min="10495" max="10731" width="6.81640625" style="1" customWidth="1"/>
    <col min="10732" max="10732" width="5.453125" style="1" customWidth="1"/>
    <col min="10733" max="10733" width="11.81640625" style="1" customWidth="1"/>
    <col min="10734" max="10734" width="18.453125" style="1" customWidth="1"/>
    <col min="10735" max="10735" width="9.26953125" style="1" customWidth="1"/>
    <col min="10736" max="10737" width="9.453125" style="1" customWidth="1"/>
    <col min="10738" max="10738" width="6.26953125" style="1" customWidth="1"/>
    <col min="10739" max="10739" width="3.1796875" style="1" customWidth="1"/>
    <col min="10740" max="10740" width="5.7265625" style="1" customWidth="1"/>
    <col min="10741" max="10741" width="3.7265625" style="1" customWidth="1"/>
    <col min="10742" max="10742" width="7.54296875" style="1" customWidth="1"/>
    <col min="10743" max="10743" width="1.81640625" style="1" customWidth="1"/>
    <col min="10744" max="10744" width="9.453125" style="1" customWidth="1"/>
    <col min="10745" max="10745" width="4.81640625" style="1" customWidth="1"/>
    <col min="10746" max="10746" width="4.54296875" style="1" customWidth="1"/>
    <col min="10747" max="10750" width="9.453125" style="1" customWidth="1"/>
    <col min="10751" max="10987" width="6.81640625" style="1" customWidth="1"/>
    <col min="10988" max="10988" width="5.453125" style="1" customWidth="1"/>
    <col min="10989" max="10989" width="11.81640625" style="1" customWidth="1"/>
    <col min="10990" max="10990" width="18.453125" style="1" customWidth="1"/>
    <col min="10991" max="10991" width="9.26953125" style="1" customWidth="1"/>
    <col min="10992" max="10993" width="9.453125" style="1" customWidth="1"/>
    <col min="10994" max="10994" width="6.26953125" style="1" customWidth="1"/>
    <col min="10995" max="10995" width="3.1796875" style="1" customWidth="1"/>
    <col min="10996" max="10996" width="5.7265625" style="1" customWidth="1"/>
    <col min="10997" max="10997" width="3.7265625" style="1" customWidth="1"/>
    <col min="10998" max="10998" width="7.54296875" style="1" customWidth="1"/>
    <col min="10999" max="10999" width="1.81640625" style="1" customWidth="1"/>
    <col min="11000" max="11000" width="9.453125" style="1" customWidth="1"/>
    <col min="11001" max="11001" width="4.81640625" style="1" customWidth="1"/>
    <col min="11002" max="11002" width="4.54296875" style="1" customWidth="1"/>
    <col min="11003" max="11006" width="9.453125" style="1" customWidth="1"/>
    <col min="11007" max="11243" width="6.81640625" style="1" customWidth="1"/>
    <col min="11244" max="11244" width="5.453125" style="1" customWidth="1"/>
    <col min="11245" max="11245" width="11.81640625" style="1" customWidth="1"/>
    <col min="11246" max="11246" width="18.453125" style="1" customWidth="1"/>
    <col min="11247" max="11247" width="9.26953125" style="1" customWidth="1"/>
    <col min="11248" max="11249" width="9.453125" style="1" customWidth="1"/>
    <col min="11250" max="11250" width="6.26953125" style="1" customWidth="1"/>
    <col min="11251" max="11251" width="3.1796875" style="1" customWidth="1"/>
    <col min="11252" max="11252" width="5.7265625" style="1" customWidth="1"/>
    <col min="11253" max="11253" width="3.7265625" style="1" customWidth="1"/>
    <col min="11254" max="11254" width="7.54296875" style="1" customWidth="1"/>
    <col min="11255" max="11255" width="1.81640625" style="1" customWidth="1"/>
    <col min="11256" max="11256" width="9.453125" style="1" customWidth="1"/>
    <col min="11257" max="11257" width="4.81640625" style="1" customWidth="1"/>
    <col min="11258" max="11258" width="4.54296875" style="1" customWidth="1"/>
    <col min="11259" max="11262" width="9.453125" style="1" customWidth="1"/>
    <col min="11263" max="11499" width="6.81640625" style="1" customWidth="1"/>
    <col min="11500" max="11500" width="5.453125" style="1" customWidth="1"/>
    <col min="11501" max="11501" width="11.81640625" style="1" customWidth="1"/>
    <col min="11502" max="11502" width="18.453125" style="1" customWidth="1"/>
    <col min="11503" max="11503" width="9.26953125" style="1" customWidth="1"/>
    <col min="11504" max="11505" width="9.453125" style="1" customWidth="1"/>
    <col min="11506" max="11506" width="6.26953125" style="1" customWidth="1"/>
    <col min="11507" max="11507" width="3.1796875" style="1" customWidth="1"/>
    <col min="11508" max="11508" width="5.7265625" style="1" customWidth="1"/>
    <col min="11509" max="11509" width="3.7265625" style="1" customWidth="1"/>
    <col min="11510" max="11510" width="7.54296875" style="1" customWidth="1"/>
    <col min="11511" max="11511" width="1.81640625" style="1" customWidth="1"/>
    <col min="11512" max="11512" width="9.453125" style="1" customWidth="1"/>
    <col min="11513" max="11513" width="4.81640625" style="1" customWidth="1"/>
    <col min="11514" max="11514" width="4.54296875" style="1" customWidth="1"/>
    <col min="11515" max="11518" width="9.453125" style="1" customWidth="1"/>
    <col min="11519" max="11755" width="6.81640625" style="1" customWidth="1"/>
    <col min="11756" max="11756" width="5.453125" style="1" customWidth="1"/>
    <col min="11757" max="11757" width="11.81640625" style="1" customWidth="1"/>
    <col min="11758" max="11758" width="18.453125" style="1" customWidth="1"/>
    <col min="11759" max="11759" width="9.26953125" style="1" customWidth="1"/>
    <col min="11760" max="11761" width="9.453125" style="1" customWidth="1"/>
    <col min="11762" max="11762" width="6.26953125" style="1" customWidth="1"/>
    <col min="11763" max="11763" width="3.1796875" style="1" customWidth="1"/>
    <col min="11764" max="11764" width="5.7265625" style="1" customWidth="1"/>
    <col min="11765" max="11765" width="3.7265625" style="1" customWidth="1"/>
    <col min="11766" max="11766" width="7.54296875" style="1" customWidth="1"/>
    <col min="11767" max="11767" width="1.81640625" style="1" customWidth="1"/>
    <col min="11768" max="11768" width="9.453125" style="1" customWidth="1"/>
    <col min="11769" max="11769" width="4.81640625" style="1" customWidth="1"/>
    <col min="11770" max="11770" width="4.54296875" style="1" customWidth="1"/>
    <col min="11771" max="11774" width="9.453125" style="1" customWidth="1"/>
    <col min="11775" max="12011" width="6.81640625" style="1" customWidth="1"/>
    <col min="12012" max="12012" width="5.453125" style="1" customWidth="1"/>
    <col min="12013" max="12013" width="11.81640625" style="1" customWidth="1"/>
    <col min="12014" max="12014" width="18.453125" style="1" customWidth="1"/>
    <col min="12015" max="12015" width="9.26953125" style="1" customWidth="1"/>
    <col min="12016" max="12017" width="9.453125" style="1" customWidth="1"/>
    <col min="12018" max="12018" width="6.26953125" style="1" customWidth="1"/>
    <col min="12019" max="12019" width="3.1796875" style="1" customWidth="1"/>
    <col min="12020" max="12020" width="5.7265625" style="1" customWidth="1"/>
    <col min="12021" max="12021" width="3.7265625" style="1" customWidth="1"/>
    <col min="12022" max="12022" width="7.54296875" style="1" customWidth="1"/>
    <col min="12023" max="12023" width="1.81640625" style="1" customWidth="1"/>
    <col min="12024" max="12024" width="9.453125" style="1" customWidth="1"/>
    <col min="12025" max="12025" width="4.81640625" style="1" customWidth="1"/>
    <col min="12026" max="12026" width="4.54296875" style="1" customWidth="1"/>
    <col min="12027" max="12030" width="9.453125" style="1" customWidth="1"/>
    <col min="12031" max="12267" width="6.81640625" style="1" customWidth="1"/>
    <col min="12268" max="12268" width="5.453125" style="1" customWidth="1"/>
    <col min="12269" max="12269" width="11.81640625" style="1" customWidth="1"/>
    <col min="12270" max="12270" width="18.453125" style="1" customWidth="1"/>
    <col min="12271" max="12271" width="9.26953125" style="1" customWidth="1"/>
    <col min="12272" max="12273" width="9.453125" style="1" customWidth="1"/>
    <col min="12274" max="12274" width="6.26953125" style="1" customWidth="1"/>
    <col min="12275" max="12275" width="3.1796875" style="1" customWidth="1"/>
    <col min="12276" max="12276" width="5.7265625" style="1" customWidth="1"/>
    <col min="12277" max="12277" width="3.7265625" style="1" customWidth="1"/>
    <col min="12278" max="12278" width="7.54296875" style="1" customWidth="1"/>
    <col min="12279" max="12279" width="1.81640625" style="1" customWidth="1"/>
    <col min="12280" max="12280" width="9.453125" style="1" customWidth="1"/>
    <col min="12281" max="12281" width="4.81640625" style="1" customWidth="1"/>
    <col min="12282" max="12282" width="4.54296875" style="1" customWidth="1"/>
    <col min="12283" max="12286" width="9.453125" style="1" customWidth="1"/>
    <col min="12287" max="12523" width="6.81640625" style="1" customWidth="1"/>
    <col min="12524" max="12524" width="5.453125" style="1" customWidth="1"/>
    <col min="12525" max="12525" width="11.81640625" style="1" customWidth="1"/>
    <col min="12526" max="12526" width="18.453125" style="1" customWidth="1"/>
    <col min="12527" max="12527" width="9.26953125" style="1" customWidth="1"/>
    <col min="12528" max="12529" width="9.453125" style="1" customWidth="1"/>
    <col min="12530" max="12530" width="6.26953125" style="1" customWidth="1"/>
    <col min="12531" max="12531" width="3.1796875" style="1" customWidth="1"/>
    <col min="12532" max="12532" width="5.7265625" style="1" customWidth="1"/>
    <col min="12533" max="12533" width="3.7265625" style="1" customWidth="1"/>
    <col min="12534" max="12534" width="7.54296875" style="1" customWidth="1"/>
    <col min="12535" max="12535" width="1.81640625" style="1" customWidth="1"/>
    <col min="12536" max="12536" width="9.453125" style="1" customWidth="1"/>
    <col min="12537" max="12537" width="4.81640625" style="1" customWidth="1"/>
    <col min="12538" max="12538" width="4.54296875" style="1" customWidth="1"/>
    <col min="12539" max="12542" width="9.453125" style="1" customWidth="1"/>
    <col min="12543" max="12779" width="6.81640625" style="1" customWidth="1"/>
    <col min="12780" max="12780" width="5.453125" style="1" customWidth="1"/>
    <col min="12781" max="12781" width="11.81640625" style="1" customWidth="1"/>
    <col min="12782" max="12782" width="18.453125" style="1" customWidth="1"/>
    <col min="12783" max="12783" width="9.26953125" style="1" customWidth="1"/>
    <col min="12784" max="12785" width="9.453125" style="1" customWidth="1"/>
    <col min="12786" max="12786" width="6.26953125" style="1" customWidth="1"/>
    <col min="12787" max="12787" width="3.1796875" style="1" customWidth="1"/>
    <col min="12788" max="12788" width="5.7265625" style="1" customWidth="1"/>
    <col min="12789" max="12789" width="3.7265625" style="1" customWidth="1"/>
    <col min="12790" max="12790" width="7.54296875" style="1" customWidth="1"/>
    <col min="12791" max="12791" width="1.81640625" style="1" customWidth="1"/>
    <col min="12792" max="12792" width="9.453125" style="1" customWidth="1"/>
    <col min="12793" max="12793" width="4.81640625" style="1" customWidth="1"/>
    <col min="12794" max="12794" width="4.54296875" style="1" customWidth="1"/>
    <col min="12795" max="12798" width="9.453125" style="1" customWidth="1"/>
    <col min="12799" max="13035" width="6.81640625" style="1" customWidth="1"/>
    <col min="13036" max="13036" width="5.453125" style="1" customWidth="1"/>
    <col min="13037" max="13037" width="11.81640625" style="1" customWidth="1"/>
    <col min="13038" max="13038" width="18.453125" style="1" customWidth="1"/>
    <col min="13039" max="13039" width="9.26953125" style="1" customWidth="1"/>
    <col min="13040" max="13041" width="9.453125" style="1" customWidth="1"/>
    <col min="13042" max="13042" width="6.26953125" style="1" customWidth="1"/>
    <col min="13043" max="13043" width="3.1796875" style="1" customWidth="1"/>
    <col min="13044" max="13044" width="5.7265625" style="1" customWidth="1"/>
    <col min="13045" max="13045" width="3.7265625" style="1" customWidth="1"/>
    <col min="13046" max="13046" width="7.54296875" style="1" customWidth="1"/>
    <col min="13047" max="13047" width="1.81640625" style="1" customWidth="1"/>
    <col min="13048" max="13048" width="9.453125" style="1" customWidth="1"/>
    <col min="13049" max="13049" width="4.81640625" style="1" customWidth="1"/>
    <col min="13050" max="13050" width="4.54296875" style="1" customWidth="1"/>
    <col min="13051" max="13054" width="9.453125" style="1" customWidth="1"/>
    <col min="13055" max="13291" width="6.81640625" style="1" customWidth="1"/>
    <col min="13292" max="13292" width="5.453125" style="1" customWidth="1"/>
    <col min="13293" max="13293" width="11.81640625" style="1" customWidth="1"/>
    <col min="13294" max="13294" width="18.453125" style="1" customWidth="1"/>
    <col min="13295" max="13295" width="9.26953125" style="1" customWidth="1"/>
    <col min="13296" max="13297" width="9.453125" style="1" customWidth="1"/>
    <col min="13298" max="13298" width="6.26953125" style="1" customWidth="1"/>
    <col min="13299" max="13299" width="3.1796875" style="1" customWidth="1"/>
    <col min="13300" max="13300" width="5.7265625" style="1" customWidth="1"/>
    <col min="13301" max="13301" width="3.7265625" style="1" customWidth="1"/>
    <col min="13302" max="13302" width="7.54296875" style="1" customWidth="1"/>
    <col min="13303" max="13303" width="1.81640625" style="1" customWidth="1"/>
    <col min="13304" max="13304" width="9.453125" style="1" customWidth="1"/>
    <col min="13305" max="13305" width="4.81640625" style="1" customWidth="1"/>
    <col min="13306" max="13306" width="4.54296875" style="1" customWidth="1"/>
    <col min="13307" max="13310" width="9.453125" style="1" customWidth="1"/>
    <col min="13311" max="13547" width="6.81640625" style="1" customWidth="1"/>
    <col min="13548" max="13548" width="5.453125" style="1" customWidth="1"/>
    <col min="13549" max="13549" width="11.81640625" style="1" customWidth="1"/>
    <col min="13550" max="13550" width="18.453125" style="1" customWidth="1"/>
    <col min="13551" max="13551" width="9.26953125" style="1" customWidth="1"/>
    <col min="13552" max="13553" width="9.453125" style="1" customWidth="1"/>
    <col min="13554" max="13554" width="6.26953125" style="1" customWidth="1"/>
    <col min="13555" max="13555" width="3.1796875" style="1" customWidth="1"/>
    <col min="13556" max="13556" width="5.7265625" style="1" customWidth="1"/>
    <col min="13557" max="13557" width="3.7265625" style="1" customWidth="1"/>
    <col min="13558" max="13558" width="7.54296875" style="1" customWidth="1"/>
    <col min="13559" max="13559" width="1.81640625" style="1" customWidth="1"/>
    <col min="13560" max="13560" width="9.453125" style="1" customWidth="1"/>
    <col min="13561" max="13561" width="4.81640625" style="1" customWidth="1"/>
    <col min="13562" max="13562" width="4.54296875" style="1" customWidth="1"/>
    <col min="13563" max="13566" width="9.453125" style="1" customWidth="1"/>
    <col min="13567" max="13803" width="6.81640625" style="1" customWidth="1"/>
    <col min="13804" max="13804" width="5.453125" style="1" customWidth="1"/>
    <col min="13805" max="13805" width="11.81640625" style="1" customWidth="1"/>
    <col min="13806" max="13806" width="18.453125" style="1" customWidth="1"/>
    <col min="13807" max="13807" width="9.26953125" style="1" customWidth="1"/>
    <col min="13808" max="13809" width="9.453125" style="1" customWidth="1"/>
    <col min="13810" max="13810" width="6.26953125" style="1" customWidth="1"/>
    <col min="13811" max="13811" width="3.1796875" style="1" customWidth="1"/>
    <col min="13812" max="13812" width="5.7265625" style="1" customWidth="1"/>
    <col min="13813" max="13813" width="3.7265625" style="1" customWidth="1"/>
    <col min="13814" max="13814" width="7.54296875" style="1" customWidth="1"/>
    <col min="13815" max="13815" width="1.81640625" style="1" customWidth="1"/>
    <col min="13816" max="13816" width="9.453125" style="1" customWidth="1"/>
    <col min="13817" max="13817" width="4.81640625" style="1" customWidth="1"/>
    <col min="13818" max="13818" width="4.54296875" style="1" customWidth="1"/>
    <col min="13819" max="13822" width="9.453125" style="1" customWidth="1"/>
    <col min="13823" max="14059" width="6.81640625" style="1" customWidth="1"/>
    <col min="14060" max="14060" width="5.453125" style="1" customWidth="1"/>
    <col min="14061" max="14061" width="11.81640625" style="1" customWidth="1"/>
    <col min="14062" max="14062" width="18.453125" style="1" customWidth="1"/>
    <col min="14063" max="14063" width="9.26953125" style="1" customWidth="1"/>
    <col min="14064" max="14065" width="9.453125" style="1" customWidth="1"/>
    <col min="14066" max="14066" width="6.26953125" style="1" customWidth="1"/>
    <col min="14067" max="14067" width="3.1796875" style="1" customWidth="1"/>
    <col min="14068" max="14068" width="5.7265625" style="1" customWidth="1"/>
    <col min="14069" max="14069" width="3.7265625" style="1" customWidth="1"/>
    <col min="14070" max="14070" width="7.54296875" style="1" customWidth="1"/>
    <col min="14071" max="14071" width="1.81640625" style="1" customWidth="1"/>
    <col min="14072" max="14072" width="9.453125" style="1" customWidth="1"/>
    <col min="14073" max="14073" width="4.81640625" style="1" customWidth="1"/>
    <col min="14074" max="14074" width="4.54296875" style="1" customWidth="1"/>
    <col min="14075" max="14078" width="9.453125" style="1" customWidth="1"/>
    <col min="14079" max="14315" width="6.81640625" style="1" customWidth="1"/>
    <col min="14316" max="14316" width="5.453125" style="1" customWidth="1"/>
    <col min="14317" max="14317" width="11.81640625" style="1" customWidth="1"/>
    <col min="14318" max="14318" width="18.453125" style="1" customWidth="1"/>
    <col min="14319" max="14319" width="9.26953125" style="1" customWidth="1"/>
    <col min="14320" max="14321" width="9.453125" style="1" customWidth="1"/>
    <col min="14322" max="14322" width="6.26953125" style="1" customWidth="1"/>
    <col min="14323" max="14323" width="3.1796875" style="1" customWidth="1"/>
    <col min="14324" max="14324" width="5.7265625" style="1" customWidth="1"/>
    <col min="14325" max="14325" width="3.7265625" style="1" customWidth="1"/>
    <col min="14326" max="14326" width="7.54296875" style="1" customWidth="1"/>
    <col min="14327" max="14327" width="1.81640625" style="1" customWidth="1"/>
    <col min="14328" max="14328" width="9.453125" style="1" customWidth="1"/>
    <col min="14329" max="14329" width="4.81640625" style="1" customWidth="1"/>
    <col min="14330" max="14330" width="4.54296875" style="1" customWidth="1"/>
    <col min="14331" max="14334" width="9.453125" style="1" customWidth="1"/>
    <col min="14335" max="14571" width="6.81640625" style="1" customWidth="1"/>
    <col min="14572" max="14572" width="5.453125" style="1" customWidth="1"/>
    <col min="14573" max="14573" width="11.81640625" style="1" customWidth="1"/>
    <col min="14574" max="14574" width="18.453125" style="1" customWidth="1"/>
    <col min="14575" max="14575" width="9.26953125" style="1" customWidth="1"/>
    <col min="14576" max="14577" width="9.453125" style="1" customWidth="1"/>
    <col min="14578" max="14578" width="6.26953125" style="1" customWidth="1"/>
    <col min="14579" max="14579" width="3.1796875" style="1" customWidth="1"/>
    <col min="14580" max="14580" width="5.7265625" style="1" customWidth="1"/>
    <col min="14581" max="14581" width="3.7265625" style="1" customWidth="1"/>
    <col min="14582" max="14582" width="7.54296875" style="1" customWidth="1"/>
    <col min="14583" max="14583" width="1.81640625" style="1" customWidth="1"/>
    <col min="14584" max="14584" width="9.453125" style="1" customWidth="1"/>
    <col min="14585" max="14585" width="4.81640625" style="1" customWidth="1"/>
    <col min="14586" max="14586" width="4.54296875" style="1" customWidth="1"/>
    <col min="14587" max="14590" width="9.453125" style="1" customWidth="1"/>
    <col min="14591" max="14827" width="6.81640625" style="1" customWidth="1"/>
    <col min="14828" max="14828" width="5.453125" style="1" customWidth="1"/>
    <col min="14829" max="14829" width="11.81640625" style="1" customWidth="1"/>
    <col min="14830" max="14830" width="18.453125" style="1" customWidth="1"/>
    <col min="14831" max="14831" width="9.26953125" style="1" customWidth="1"/>
    <col min="14832" max="14833" width="9.453125" style="1" customWidth="1"/>
    <col min="14834" max="14834" width="6.26953125" style="1" customWidth="1"/>
    <col min="14835" max="14835" width="3.1796875" style="1" customWidth="1"/>
    <col min="14836" max="14836" width="5.7265625" style="1" customWidth="1"/>
    <col min="14837" max="14837" width="3.7265625" style="1" customWidth="1"/>
    <col min="14838" max="14838" width="7.54296875" style="1" customWidth="1"/>
    <col min="14839" max="14839" width="1.81640625" style="1" customWidth="1"/>
    <col min="14840" max="14840" width="9.453125" style="1" customWidth="1"/>
    <col min="14841" max="14841" width="4.81640625" style="1" customWidth="1"/>
    <col min="14842" max="14842" width="4.54296875" style="1" customWidth="1"/>
    <col min="14843" max="14846" width="9.453125" style="1" customWidth="1"/>
    <col min="14847" max="15083" width="6.81640625" style="1" customWidth="1"/>
    <col min="15084" max="15084" width="5.453125" style="1" customWidth="1"/>
    <col min="15085" max="15085" width="11.81640625" style="1" customWidth="1"/>
    <col min="15086" max="15086" width="18.453125" style="1" customWidth="1"/>
    <col min="15087" max="15087" width="9.26953125" style="1" customWidth="1"/>
    <col min="15088" max="15089" width="9.453125" style="1" customWidth="1"/>
    <col min="15090" max="15090" width="6.26953125" style="1" customWidth="1"/>
    <col min="15091" max="15091" width="3.1796875" style="1" customWidth="1"/>
    <col min="15092" max="15092" width="5.7265625" style="1" customWidth="1"/>
    <col min="15093" max="15093" width="3.7265625" style="1" customWidth="1"/>
    <col min="15094" max="15094" width="7.54296875" style="1" customWidth="1"/>
    <col min="15095" max="15095" width="1.81640625" style="1" customWidth="1"/>
    <col min="15096" max="15096" width="9.453125" style="1" customWidth="1"/>
    <col min="15097" max="15097" width="4.81640625" style="1" customWidth="1"/>
    <col min="15098" max="15098" width="4.54296875" style="1" customWidth="1"/>
    <col min="15099" max="15102" width="9.453125" style="1" customWidth="1"/>
    <col min="15103" max="15339" width="6.81640625" style="1" customWidth="1"/>
    <col min="15340" max="15340" width="5.453125" style="1" customWidth="1"/>
    <col min="15341" max="15341" width="11.81640625" style="1" customWidth="1"/>
    <col min="15342" max="15342" width="18.453125" style="1" customWidth="1"/>
    <col min="15343" max="15343" width="9.26953125" style="1" customWidth="1"/>
    <col min="15344" max="15345" width="9.453125" style="1" customWidth="1"/>
    <col min="15346" max="15346" width="6.26953125" style="1" customWidth="1"/>
    <col min="15347" max="15347" width="3.1796875" style="1" customWidth="1"/>
    <col min="15348" max="15348" width="5.7265625" style="1" customWidth="1"/>
    <col min="15349" max="15349" width="3.7265625" style="1" customWidth="1"/>
    <col min="15350" max="15350" width="7.54296875" style="1" customWidth="1"/>
    <col min="15351" max="15351" width="1.81640625" style="1" customWidth="1"/>
    <col min="15352" max="15352" width="9.453125" style="1" customWidth="1"/>
    <col min="15353" max="15353" width="4.81640625" style="1" customWidth="1"/>
    <col min="15354" max="15354" width="4.54296875" style="1" customWidth="1"/>
    <col min="15355" max="15358" width="9.453125" style="1" customWidth="1"/>
    <col min="15359" max="15595" width="6.81640625" style="1" customWidth="1"/>
    <col min="15596" max="15596" width="5.453125" style="1" customWidth="1"/>
    <col min="15597" max="15597" width="11.81640625" style="1" customWidth="1"/>
    <col min="15598" max="15598" width="18.453125" style="1" customWidth="1"/>
    <col min="15599" max="15599" width="9.26953125" style="1" customWidth="1"/>
    <col min="15600" max="15601" width="9.453125" style="1" customWidth="1"/>
    <col min="15602" max="15602" width="6.26953125" style="1" customWidth="1"/>
    <col min="15603" max="15603" width="3.1796875" style="1" customWidth="1"/>
    <col min="15604" max="15604" width="5.7265625" style="1" customWidth="1"/>
    <col min="15605" max="15605" width="3.7265625" style="1" customWidth="1"/>
    <col min="15606" max="15606" width="7.54296875" style="1" customWidth="1"/>
    <col min="15607" max="15607" width="1.81640625" style="1" customWidth="1"/>
    <col min="15608" max="15608" width="9.453125" style="1" customWidth="1"/>
    <col min="15609" max="15609" width="4.81640625" style="1" customWidth="1"/>
    <col min="15610" max="15610" width="4.54296875" style="1" customWidth="1"/>
    <col min="15611" max="15614" width="9.453125" style="1" customWidth="1"/>
    <col min="15615" max="15851" width="6.81640625" style="1" customWidth="1"/>
    <col min="15852" max="15852" width="5.453125" style="1" customWidth="1"/>
    <col min="15853" max="15853" width="11.81640625" style="1" customWidth="1"/>
    <col min="15854" max="15854" width="18.453125" style="1" customWidth="1"/>
    <col min="15855" max="15855" width="9.26953125" style="1" customWidth="1"/>
    <col min="15856" max="15857" width="9.453125" style="1" customWidth="1"/>
    <col min="15858" max="15858" width="6.26953125" style="1" customWidth="1"/>
    <col min="15859" max="15859" width="3.1796875" style="1" customWidth="1"/>
    <col min="15860" max="15860" width="5.7265625" style="1" customWidth="1"/>
    <col min="15861" max="15861" width="3.7265625" style="1" customWidth="1"/>
    <col min="15862" max="15862" width="7.54296875" style="1" customWidth="1"/>
    <col min="15863" max="15863" width="1.81640625" style="1" customWidth="1"/>
    <col min="15864" max="15864" width="9.453125" style="1" customWidth="1"/>
    <col min="15865" max="15865" width="4.81640625" style="1" customWidth="1"/>
    <col min="15866" max="15866" width="4.54296875" style="1" customWidth="1"/>
    <col min="15867" max="15870" width="9.453125" style="1" customWidth="1"/>
    <col min="15871" max="16107" width="6.81640625" style="1" customWidth="1"/>
    <col min="16108" max="16108" width="5.453125" style="1" customWidth="1"/>
    <col min="16109" max="16109" width="11.81640625" style="1" customWidth="1"/>
    <col min="16110" max="16110" width="18.453125" style="1" customWidth="1"/>
    <col min="16111" max="16111" width="9.26953125" style="1" customWidth="1"/>
    <col min="16112" max="16113" width="9.453125" style="1" customWidth="1"/>
    <col min="16114" max="16114" width="6.26953125" style="1" customWidth="1"/>
    <col min="16115" max="16115" width="3.1796875" style="1" customWidth="1"/>
    <col min="16116" max="16116" width="5.7265625" style="1" customWidth="1"/>
    <col min="16117" max="16117" width="3.7265625" style="1" customWidth="1"/>
    <col min="16118" max="16118" width="7.54296875" style="1" customWidth="1"/>
    <col min="16119" max="16119" width="1.81640625" style="1" customWidth="1"/>
    <col min="16120" max="16120" width="9.453125" style="1" customWidth="1"/>
    <col min="16121" max="16121" width="4.81640625" style="1" customWidth="1"/>
    <col min="16122" max="16122" width="4.54296875" style="1" customWidth="1"/>
    <col min="16123" max="16126" width="9.453125" style="1" customWidth="1"/>
    <col min="16127" max="16384" width="6.81640625" style="1" customWidth="1"/>
  </cols>
  <sheetData>
    <row r="1" spans="1:14" s="26" customFormat="1">
      <c r="A1" s="36" t="s">
        <v>127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s="26" customFormat="1">
      <c r="A2" s="36" t="s">
        <v>128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s="26" customFormat="1">
      <c r="A3" s="36" t="s">
        <v>129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s="26" customFormat="1" ht="12.5" thickBot="1"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ht="12" customHeight="1">
      <c r="A5" s="71" t="s">
        <v>73</v>
      </c>
      <c r="B5" s="72"/>
      <c r="C5" s="153" t="s">
        <v>52</v>
      </c>
      <c r="D5" s="153"/>
      <c r="E5" s="153" t="s">
        <v>57</v>
      </c>
      <c r="F5" s="153"/>
      <c r="G5" s="153" t="s">
        <v>58</v>
      </c>
      <c r="H5" s="153"/>
      <c r="I5" s="153" t="s">
        <v>62</v>
      </c>
      <c r="J5" s="153"/>
      <c r="K5" s="153" t="s">
        <v>63</v>
      </c>
      <c r="L5" s="153"/>
      <c r="M5" s="153" t="s">
        <v>64</v>
      </c>
      <c r="N5" s="154"/>
    </row>
    <row r="6" spans="1:14" ht="12.5" thickBot="1">
      <c r="A6" s="73" t="s">
        <v>65</v>
      </c>
      <c r="B6" s="74" t="s">
        <v>66</v>
      </c>
      <c r="C6" s="75" t="s">
        <v>67</v>
      </c>
      <c r="D6" s="75" t="s">
        <v>68</v>
      </c>
      <c r="E6" s="75" t="s">
        <v>29</v>
      </c>
      <c r="F6" s="75" t="s">
        <v>30</v>
      </c>
      <c r="G6" s="75" t="s">
        <v>67</v>
      </c>
      <c r="H6" s="75" t="s">
        <v>68</v>
      </c>
      <c r="I6" s="75" t="s">
        <v>69</v>
      </c>
      <c r="J6" s="75" t="s">
        <v>70</v>
      </c>
      <c r="K6" s="75" t="s">
        <v>71</v>
      </c>
      <c r="L6" s="75" t="s">
        <v>59</v>
      </c>
      <c r="M6" s="75" t="s">
        <v>71</v>
      </c>
      <c r="N6" s="76" t="s">
        <v>72</v>
      </c>
    </row>
    <row r="7" spans="1:14">
      <c r="A7" s="69" t="s">
        <v>170</v>
      </c>
      <c r="B7" s="69" t="s">
        <v>161</v>
      </c>
      <c r="C7" s="70">
        <v>0</v>
      </c>
      <c r="D7" s="70">
        <v>0</v>
      </c>
      <c r="E7" s="70">
        <v>5000</v>
      </c>
      <c r="F7" s="70">
        <v>0</v>
      </c>
      <c r="G7" s="70">
        <v>5000</v>
      </c>
      <c r="H7" s="70"/>
      <c r="I7" s="70">
        <v>5000</v>
      </c>
      <c r="J7" s="70"/>
      <c r="K7" s="70"/>
      <c r="L7" s="70"/>
      <c r="M7" s="70"/>
      <c r="N7" s="70"/>
    </row>
    <row r="8" spans="1:14">
      <c r="A8" s="68" t="s">
        <v>169</v>
      </c>
      <c r="B8" s="68" t="s">
        <v>162</v>
      </c>
      <c r="C8" s="62">
        <v>0</v>
      </c>
      <c r="D8" s="62">
        <v>0</v>
      </c>
      <c r="E8" s="62">
        <v>995000</v>
      </c>
      <c r="F8" s="62"/>
      <c r="G8" s="62">
        <v>995000</v>
      </c>
      <c r="H8" s="62"/>
      <c r="I8" s="62">
        <v>995000</v>
      </c>
      <c r="J8" s="62"/>
      <c r="K8" s="62"/>
      <c r="L8" s="62"/>
      <c r="M8" s="62"/>
      <c r="N8" s="62"/>
    </row>
    <row r="9" spans="1:14">
      <c r="A9" s="77" t="s">
        <v>171</v>
      </c>
      <c r="B9" s="68" t="s">
        <v>28</v>
      </c>
      <c r="C9" s="62">
        <v>0</v>
      </c>
      <c r="D9" s="62">
        <v>0</v>
      </c>
      <c r="E9" s="62"/>
      <c r="F9" s="62">
        <v>1000000</v>
      </c>
      <c r="G9" s="62"/>
      <c r="H9" s="62"/>
      <c r="I9" s="62"/>
      <c r="J9" s="62">
        <v>1000000</v>
      </c>
      <c r="K9" s="62"/>
      <c r="L9" s="62"/>
      <c r="M9" s="62"/>
      <c r="N9" s="62"/>
    </row>
  </sheetData>
  <mergeCells count="6">
    <mergeCell ref="M5:N5"/>
    <mergeCell ref="C5:D5"/>
    <mergeCell ref="E5:F5"/>
    <mergeCell ref="G5:H5"/>
    <mergeCell ref="I5:J5"/>
    <mergeCell ref="K5:L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77862-3434-4BA0-AF0A-70EFA3F1300B}">
  <sheetPr>
    <tabColor theme="9" tint="-0.499984740745262"/>
  </sheetPr>
  <dimension ref="A2:B3"/>
  <sheetViews>
    <sheetView showGridLines="0" workbookViewId="0">
      <selection activeCell="A3" sqref="A3"/>
    </sheetView>
  </sheetViews>
  <sheetFormatPr baseColWidth="10" defaultRowHeight="14.5"/>
  <cols>
    <col min="1" max="1" width="4" bestFit="1" customWidth="1"/>
    <col min="2" max="2" width="49.7265625" bestFit="1" customWidth="1"/>
  </cols>
  <sheetData>
    <row r="2" spans="1:2">
      <c r="A2" s="78" t="s">
        <v>173</v>
      </c>
      <c r="B2" s="119" t="s">
        <v>215</v>
      </c>
    </row>
    <row r="3" spans="1:2">
      <c r="A3" s="78" t="s">
        <v>176</v>
      </c>
      <c r="B3" s="102" t="s">
        <v>202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30219-A823-481A-BE83-0548F6C9F71A}">
  <sheetPr>
    <tabColor theme="9" tint="-0.499984740745262"/>
  </sheetPr>
  <dimension ref="A1:AR8"/>
  <sheetViews>
    <sheetView showGridLines="0" workbookViewId="0">
      <pane xSplit="10" ySplit="2" topLeftCell="K3" activePane="bottomRight" state="frozen"/>
      <selection pane="topRight" activeCell="K1" sqref="K1"/>
      <selection pane="bottomLeft" activeCell="A3" sqref="A3"/>
      <selection pane="bottomRight" activeCell="M4" sqref="M4"/>
    </sheetView>
  </sheetViews>
  <sheetFormatPr baseColWidth="10" defaultRowHeight="12" outlineLevelCol="1"/>
  <cols>
    <col min="1" max="1" width="9.08984375" style="31" bestFit="1" customWidth="1"/>
    <col min="2" max="2" width="9.08984375" style="31" customWidth="1"/>
    <col min="3" max="3" width="10.36328125" style="31" customWidth="1"/>
    <col min="4" max="4" width="3.36328125" style="31" bestFit="1" customWidth="1"/>
    <col min="5" max="5" width="4.7265625" style="31" bestFit="1" customWidth="1"/>
    <col min="6" max="6" width="3.90625" style="31" bestFit="1" customWidth="1"/>
    <col min="7" max="7" width="7.453125" style="31" bestFit="1" customWidth="1"/>
    <col min="8" max="8" width="4.1796875" style="31" bestFit="1" customWidth="1"/>
    <col min="9" max="9" width="9.90625" style="31" bestFit="1" customWidth="1"/>
    <col min="10" max="10" width="7.90625" style="31" bestFit="1" customWidth="1"/>
    <col min="11" max="11" width="9.36328125" style="31" bestFit="1" customWidth="1"/>
    <col min="12" max="12" width="8.54296875" style="31" bestFit="1" customWidth="1"/>
    <col min="13" max="13" width="8.7265625" style="31" hidden="1" customWidth="1" outlineLevel="1"/>
    <col min="14" max="14" width="5.26953125" style="31" hidden="1" customWidth="1" outlineLevel="1"/>
    <col min="15" max="15" width="8.7265625" style="31" hidden="1" customWidth="1" outlineLevel="1"/>
    <col min="16" max="16" width="5.26953125" style="31" hidden="1" customWidth="1" outlineLevel="1"/>
    <col min="17" max="17" width="12.08984375" style="31" hidden="1" customWidth="1" outlineLevel="1"/>
    <col min="18" max="18" width="5.54296875" style="31" hidden="1" customWidth="1" outlineLevel="1"/>
    <col min="19" max="19" width="23" style="31" hidden="1" customWidth="1" outlineLevel="1"/>
    <col min="20" max="20" width="12.26953125" style="31" hidden="1" customWidth="1" outlineLevel="1"/>
    <col min="21" max="21" width="8.54296875" style="31" bestFit="1" customWidth="1" collapsed="1"/>
    <col min="22" max="22" width="26.7265625" style="31" hidden="1" customWidth="1" outlineLevel="1"/>
    <col min="23" max="23" width="8.26953125" style="31" bestFit="1" customWidth="1" collapsed="1"/>
    <col min="24" max="24" width="9.08984375" style="31" bestFit="1" customWidth="1"/>
    <col min="25" max="25" width="7.36328125" style="31" bestFit="1" customWidth="1"/>
    <col min="26" max="26" width="5.453125" style="31" hidden="1" customWidth="1" outlineLevel="1"/>
    <col min="27" max="27" width="4.1796875" style="31" hidden="1" customWidth="1" outlineLevel="1"/>
    <col min="28" max="28" width="4.7265625" style="31" hidden="1" customWidth="1" outlineLevel="1"/>
    <col min="29" max="29" width="6.6328125" style="31" hidden="1" customWidth="1" outlineLevel="1"/>
    <col min="30" max="30" width="1.36328125" style="31" customWidth="1" collapsed="1"/>
    <col min="31" max="31" width="1.36328125" style="37" customWidth="1"/>
    <col min="32" max="32" width="1.36328125" style="31" customWidth="1"/>
    <col min="33" max="33" width="36.26953125" style="31" bestFit="1" customWidth="1"/>
    <col min="34" max="34" width="10.453125" style="31" bestFit="1" customWidth="1"/>
    <col min="35" max="35" width="6.6328125" style="31" bestFit="1" customWidth="1"/>
    <col min="36" max="36" width="7.7265625" style="31" bestFit="1" customWidth="1"/>
    <col min="37" max="37" width="1.36328125" style="31" customWidth="1" collapsed="1"/>
    <col min="38" max="38" width="1.36328125" style="37" customWidth="1"/>
    <col min="39" max="39" width="1.36328125" style="31" customWidth="1"/>
    <col min="40" max="40" width="31.08984375" style="31" customWidth="1"/>
    <col min="41" max="43" width="10.90625" style="31"/>
    <col min="44" max="44" width="13.90625" style="31" customWidth="1"/>
    <col min="45" max="16384" width="10.90625" style="31"/>
  </cols>
  <sheetData>
    <row r="1" spans="1:44" ht="12.5" thickBot="1">
      <c r="A1" s="27" t="s">
        <v>7</v>
      </c>
      <c r="B1" s="27"/>
      <c r="C1" s="27"/>
      <c r="D1" s="172" t="s">
        <v>85</v>
      </c>
      <c r="E1" s="173"/>
      <c r="F1" s="173"/>
      <c r="G1" s="174"/>
      <c r="H1" s="172" t="s">
        <v>86</v>
      </c>
      <c r="I1" s="173"/>
      <c r="J1" s="32"/>
      <c r="K1" s="175" t="s">
        <v>87</v>
      </c>
      <c r="L1" s="176"/>
      <c r="M1" s="177" t="s">
        <v>88</v>
      </c>
      <c r="N1" s="176"/>
      <c r="O1" s="177" t="s">
        <v>89</v>
      </c>
      <c r="P1" s="178"/>
      <c r="Q1" s="33" t="s">
        <v>90</v>
      </c>
      <c r="R1" s="33"/>
      <c r="S1" s="33" t="s">
        <v>91</v>
      </c>
      <c r="T1" s="33" t="s">
        <v>92</v>
      </c>
      <c r="U1" s="33" t="s">
        <v>15</v>
      </c>
      <c r="V1" s="27" t="s">
        <v>93</v>
      </c>
      <c r="W1" s="166" t="s">
        <v>94</v>
      </c>
      <c r="X1" s="168"/>
      <c r="Y1" s="27"/>
      <c r="Z1" s="166" t="s">
        <v>95</v>
      </c>
      <c r="AA1" s="167"/>
      <c r="AB1" s="167"/>
      <c r="AC1" s="168"/>
      <c r="AG1" s="169" t="s">
        <v>12</v>
      </c>
      <c r="AH1" s="170"/>
      <c r="AI1" s="170"/>
      <c r="AJ1" s="171"/>
      <c r="AN1" s="169" t="s">
        <v>9</v>
      </c>
      <c r="AO1" s="170"/>
      <c r="AP1" s="170"/>
      <c r="AQ1" s="171"/>
    </row>
    <row r="2" spans="1:44">
      <c r="A2" s="42" t="s">
        <v>96</v>
      </c>
      <c r="B2" s="42" t="s">
        <v>0</v>
      </c>
      <c r="C2" s="42" t="s">
        <v>97</v>
      </c>
      <c r="D2" s="27" t="s">
        <v>98</v>
      </c>
      <c r="E2" s="27" t="s">
        <v>6</v>
      </c>
      <c r="F2" s="27" t="s">
        <v>99</v>
      </c>
      <c r="G2" s="27" t="s">
        <v>7</v>
      </c>
      <c r="H2" s="27" t="s">
        <v>5</v>
      </c>
      <c r="I2" s="35" t="s">
        <v>7</v>
      </c>
      <c r="J2" s="17" t="s">
        <v>100</v>
      </c>
      <c r="K2" s="43" t="s">
        <v>101</v>
      </c>
      <c r="L2" s="43" t="s">
        <v>102</v>
      </c>
      <c r="M2" s="43" t="s">
        <v>101</v>
      </c>
      <c r="N2" s="43" t="s">
        <v>102</v>
      </c>
      <c r="O2" s="43" t="s">
        <v>101</v>
      </c>
      <c r="P2" s="43" t="s">
        <v>102</v>
      </c>
      <c r="Q2" s="44" t="s">
        <v>103</v>
      </c>
      <c r="R2" s="44" t="s">
        <v>104</v>
      </c>
      <c r="S2" s="44" t="s">
        <v>105</v>
      </c>
      <c r="T2" s="44" t="s">
        <v>106</v>
      </c>
      <c r="U2" s="44" t="s">
        <v>3</v>
      </c>
      <c r="V2" s="42" t="s">
        <v>107</v>
      </c>
      <c r="W2" s="27" t="s">
        <v>108</v>
      </c>
      <c r="X2" s="27" t="s">
        <v>0</v>
      </c>
      <c r="Y2" s="42" t="s">
        <v>109</v>
      </c>
      <c r="Z2" s="27" t="s">
        <v>0</v>
      </c>
      <c r="AA2" s="27" t="s">
        <v>5</v>
      </c>
      <c r="AB2" s="27" t="s">
        <v>6</v>
      </c>
      <c r="AC2" s="27" t="s">
        <v>7</v>
      </c>
      <c r="AG2" s="25" t="s">
        <v>13</v>
      </c>
      <c r="AH2" s="25" t="s">
        <v>14</v>
      </c>
      <c r="AI2" s="25" t="s">
        <v>8</v>
      </c>
      <c r="AJ2" s="25" t="s">
        <v>15</v>
      </c>
      <c r="AN2" s="27" t="s">
        <v>1</v>
      </c>
      <c r="AO2" s="27" t="s">
        <v>2</v>
      </c>
      <c r="AP2" s="25" t="s">
        <v>19</v>
      </c>
      <c r="AQ2" s="25" t="s">
        <v>3</v>
      </c>
      <c r="AR2" s="25" t="s">
        <v>167</v>
      </c>
    </row>
    <row r="3" spans="1:44">
      <c r="A3" s="49" t="s">
        <v>172</v>
      </c>
      <c r="B3" s="50">
        <v>44868</v>
      </c>
      <c r="C3" s="50">
        <v>44956</v>
      </c>
      <c r="D3" s="49" t="s">
        <v>16</v>
      </c>
      <c r="E3" s="49" t="s">
        <v>131</v>
      </c>
      <c r="F3" s="49" t="s">
        <v>130</v>
      </c>
      <c r="G3" s="51" t="s">
        <v>146</v>
      </c>
      <c r="H3" s="49" t="s">
        <v>60</v>
      </c>
      <c r="I3" s="49">
        <v>10345678910</v>
      </c>
      <c r="J3" s="49" t="s">
        <v>150</v>
      </c>
      <c r="K3" s="52">
        <f>+AQ3</f>
        <v>125000</v>
      </c>
      <c r="L3" s="52">
        <f>+K3*18%</f>
        <v>22500</v>
      </c>
      <c r="M3" s="52">
        <v>0</v>
      </c>
      <c r="N3" s="52">
        <v>0</v>
      </c>
      <c r="O3" s="52">
        <v>0</v>
      </c>
      <c r="P3" s="52">
        <v>0</v>
      </c>
      <c r="Q3" s="52">
        <v>0</v>
      </c>
      <c r="R3" s="52">
        <v>0</v>
      </c>
      <c r="S3" s="52">
        <v>0</v>
      </c>
      <c r="T3" s="52">
        <v>0</v>
      </c>
      <c r="U3" s="52">
        <v>14160</v>
      </c>
      <c r="V3" s="47"/>
      <c r="W3" s="47"/>
      <c r="X3" s="47"/>
      <c r="Y3" s="48">
        <v>1</v>
      </c>
      <c r="Z3" s="47"/>
      <c r="AA3" s="47"/>
      <c r="AB3" s="47"/>
      <c r="AC3" s="47"/>
      <c r="AD3" s="39"/>
      <c r="AE3" s="60"/>
      <c r="AF3" s="39"/>
      <c r="AG3" s="41" t="s">
        <v>211</v>
      </c>
      <c r="AH3" s="39"/>
      <c r="AI3" s="39"/>
      <c r="AJ3" s="40"/>
      <c r="AN3" s="9" t="s">
        <v>155</v>
      </c>
      <c r="AO3" s="19">
        <v>5000</v>
      </c>
      <c r="AP3" s="19">
        <v>25</v>
      </c>
      <c r="AQ3" s="19">
        <f t="shared" ref="AQ3:AQ4" si="0">+AO3*AP3</f>
        <v>125000</v>
      </c>
      <c r="AR3" s="21" t="s">
        <v>165</v>
      </c>
    </row>
    <row r="4" spans="1:44">
      <c r="A4" s="49" t="s">
        <v>132</v>
      </c>
      <c r="B4" s="50">
        <v>44872</v>
      </c>
      <c r="C4" s="50">
        <v>44956</v>
      </c>
      <c r="D4" s="49" t="s">
        <v>16</v>
      </c>
      <c r="E4" s="49" t="s">
        <v>131</v>
      </c>
      <c r="F4" s="49" t="s">
        <v>130</v>
      </c>
      <c r="G4" s="51" t="s">
        <v>147</v>
      </c>
      <c r="H4" s="49" t="s">
        <v>60</v>
      </c>
      <c r="I4" s="49">
        <v>10345678910</v>
      </c>
      <c r="J4" s="49" t="s">
        <v>150</v>
      </c>
      <c r="K4" s="52">
        <f>+AQ4</f>
        <v>189000</v>
      </c>
      <c r="L4" s="52">
        <f t="shared" ref="L4:L5" si="1">+K4*18%</f>
        <v>34020</v>
      </c>
      <c r="M4" s="52">
        <v>0</v>
      </c>
      <c r="N4" s="52">
        <v>0</v>
      </c>
      <c r="O4" s="52">
        <v>0</v>
      </c>
      <c r="P4" s="52">
        <v>0</v>
      </c>
      <c r="Q4" s="52">
        <v>0</v>
      </c>
      <c r="R4" s="52">
        <v>0</v>
      </c>
      <c r="S4" s="52">
        <v>0</v>
      </c>
      <c r="T4" s="52">
        <v>0</v>
      </c>
      <c r="U4" s="52">
        <v>1366.44</v>
      </c>
      <c r="V4" s="47"/>
      <c r="W4" s="47"/>
      <c r="X4" s="47"/>
      <c r="Y4" s="48">
        <v>1</v>
      </c>
      <c r="Z4" s="47"/>
      <c r="AA4" s="47"/>
      <c r="AB4" s="47"/>
      <c r="AC4" s="47"/>
      <c r="AD4" s="39"/>
      <c r="AE4" s="60"/>
      <c r="AF4" s="39"/>
      <c r="AG4" s="41" t="s">
        <v>211</v>
      </c>
      <c r="AH4" s="39"/>
      <c r="AI4" s="39"/>
      <c r="AJ4" s="40"/>
      <c r="AN4" s="9" t="s">
        <v>155</v>
      </c>
      <c r="AO4" s="19">
        <v>7000</v>
      </c>
      <c r="AP4" s="19">
        <v>27</v>
      </c>
      <c r="AQ4" s="19">
        <f t="shared" si="0"/>
        <v>189000</v>
      </c>
      <c r="AR4" s="21" t="s">
        <v>166</v>
      </c>
    </row>
    <row r="5" spans="1:44">
      <c r="A5" s="106" t="s">
        <v>144</v>
      </c>
      <c r="B5" s="107">
        <v>44893</v>
      </c>
      <c r="C5" s="108">
        <v>44923</v>
      </c>
      <c r="D5" s="106" t="s">
        <v>16</v>
      </c>
      <c r="E5" s="106" t="s">
        <v>133</v>
      </c>
      <c r="F5" s="106" t="s">
        <v>130</v>
      </c>
      <c r="G5" s="109" t="s">
        <v>149</v>
      </c>
      <c r="H5" s="106" t="s">
        <v>60</v>
      </c>
      <c r="I5" s="106">
        <v>10245678910</v>
      </c>
      <c r="J5" s="106" t="s">
        <v>148</v>
      </c>
      <c r="K5" s="110">
        <v>2500</v>
      </c>
      <c r="L5" s="110">
        <f t="shared" si="1"/>
        <v>450</v>
      </c>
      <c r="M5" s="110">
        <v>0</v>
      </c>
      <c r="N5" s="110">
        <v>0</v>
      </c>
      <c r="O5" s="110">
        <v>0</v>
      </c>
      <c r="P5" s="110">
        <v>0</v>
      </c>
      <c r="Q5" s="110">
        <v>0</v>
      </c>
      <c r="R5" s="110">
        <v>0</v>
      </c>
      <c r="S5" s="110">
        <v>0</v>
      </c>
      <c r="T5" s="110">
        <v>0</v>
      </c>
      <c r="U5" s="110">
        <v>3540</v>
      </c>
      <c r="V5" s="111"/>
      <c r="W5" s="104">
        <v>177111321</v>
      </c>
      <c r="X5" s="112">
        <v>44893</v>
      </c>
      <c r="Y5" s="113">
        <v>1</v>
      </c>
      <c r="Z5" s="47"/>
      <c r="AA5" s="47"/>
      <c r="AB5" s="47"/>
      <c r="AC5" s="47"/>
      <c r="AD5" s="39"/>
      <c r="AE5" s="60"/>
      <c r="AF5" s="39"/>
      <c r="AG5" s="38">
        <v>44893</v>
      </c>
      <c r="AH5" s="39" t="s">
        <v>151</v>
      </c>
      <c r="AI5" s="39" t="s">
        <v>11</v>
      </c>
      <c r="AJ5" s="40">
        <f>+U5*88%</f>
        <v>3115.2</v>
      </c>
      <c r="AN5" s="59" t="s">
        <v>152</v>
      </c>
      <c r="AO5" s="39"/>
      <c r="AP5" s="39"/>
      <c r="AQ5" s="39"/>
    </row>
    <row r="6" spans="1:44">
      <c r="A6" s="49" t="s">
        <v>145</v>
      </c>
      <c r="B6" s="50">
        <v>44866</v>
      </c>
      <c r="C6" s="46">
        <v>44923</v>
      </c>
      <c r="D6" s="49" t="s">
        <v>16</v>
      </c>
      <c r="E6" s="49" t="s">
        <v>131</v>
      </c>
      <c r="F6" s="49" t="s">
        <v>130</v>
      </c>
      <c r="G6" s="51" t="s">
        <v>183</v>
      </c>
      <c r="H6" s="49" t="s">
        <v>60</v>
      </c>
      <c r="I6" s="49">
        <v>20206060641</v>
      </c>
      <c r="J6" s="49" t="s">
        <v>184</v>
      </c>
      <c r="K6" s="52">
        <f>500*11</f>
        <v>5500</v>
      </c>
      <c r="L6" s="52">
        <f>+K6*18%</f>
        <v>990</v>
      </c>
      <c r="M6" s="52">
        <v>0</v>
      </c>
      <c r="N6" s="52">
        <v>0</v>
      </c>
      <c r="O6" s="52">
        <v>0</v>
      </c>
      <c r="P6" s="52">
        <v>0</v>
      </c>
      <c r="Q6" s="52">
        <v>0</v>
      </c>
      <c r="R6" s="52">
        <v>0</v>
      </c>
      <c r="S6" s="52">
        <v>0</v>
      </c>
      <c r="T6" s="52">
        <v>0</v>
      </c>
      <c r="U6" s="52">
        <v>14160</v>
      </c>
      <c r="V6" s="47"/>
      <c r="W6" s="47"/>
      <c r="X6" s="47"/>
      <c r="Y6" s="48">
        <v>1</v>
      </c>
      <c r="Z6" s="47"/>
      <c r="AA6" s="47"/>
      <c r="AB6" s="47"/>
      <c r="AC6" s="47"/>
    </row>
    <row r="7" spans="1:44" ht="12.5" thickBot="1">
      <c r="K7" s="105">
        <f>+SUM(K3:K6)</f>
        <v>322000</v>
      </c>
      <c r="L7" s="105">
        <f>+SUM(L3:L6)</f>
        <v>57960</v>
      </c>
    </row>
    <row r="8" spans="1:44" ht="12.5" thickTop="1"/>
  </sheetData>
  <mergeCells count="9">
    <mergeCell ref="AG1:AJ1"/>
    <mergeCell ref="AN1:AQ1"/>
    <mergeCell ref="Z1:AC1"/>
    <mergeCell ref="D1:G1"/>
    <mergeCell ref="H1:I1"/>
    <mergeCell ref="K1:L1"/>
    <mergeCell ref="M1:N1"/>
    <mergeCell ref="O1:P1"/>
    <mergeCell ref="W1:X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30A1F-EA16-4165-82E0-D48F3B560180}">
  <sheetPr>
    <tabColor theme="9" tint="-0.499984740745262"/>
  </sheetPr>
  <dimension ref="A1:AO22"/>
  <sheetViews>
    <sheetView showGridLines="0" workbookViewId="0">
      <selection activeCell="M4" sqref="M4"/>
    </sheetView>
  </sheetViews>
  <sheetFormatPr baseColWidth="10" defaultRowHeight="12" outlineLevelCol="1"/>
  <cols>
    <col min="1" max="3" width="9.08984375" style="3" bestFit="1" customWidth="1"/>
    <col min="4" max="4" width="4.1796875" style="3" bestFit="1" customWidth="1"/>
    <col min="5" max="5" width="4.7265625" style="3" bestFit="1" customWidth="1"/>
    <col min="6" max="6" width="7.08984375" style="3" bestFit="1" customWidth="1"/>
    <col min="7" max="7" width="4.1796875" style="3" bestFit="1" customWidth="1"/>
    <col min="8" max="8" width="9.90625" style="3" bestFit="1" customWidth="1"/>
    <col min="9" max="9" width="8.54296875" style="3" bestFit="1" customWidth="1"/>
    <col min="10" max="10" width="9.90625" style="3" customWidth="1" outlineLevel="1"/>
    <col min="11" max="11" width="8.54296875" style="3" bestFit="1" customWidth="1"/>
    <col min="12" max="12" width="9.08984375" style="3" customWidth="1" outlineLevel="1"/>
    <col min="13" max="13" width="7.1796875" style="3" customWidth="1" outlineLevel="1"/>
    <col min="14" max="14" width="8" style="3" customWidth="1" outlineLevel="1"/>
    <col min="15" max="15" width="3.90625" style="3" customWidth="1" outlineLevel="1"/>
    <col min="16" max="16" width="4.26953125" style="3" customWidth="1" outlineLevel="1"/>
    <col min="17" max="17" width="7.7265625" style="3" bestFit="1" customWidth="1"/>
    <col min="18" max="18" width="18.08984375" style="3" customWidth="1" outlineLevel="1"/>
    <col min="19" max="19" width="7.1796875" style="3" customWidth="1" outlineLevel="1"/>
    <col min="20" max="20" width="8.54296875" style="3" bestFit="1" customWidth="1"/>
    <col min="21" max="21" width="8.1796875" style="3" customWidth="1" outlineLevel="1"/>
    <col min="22" max="22" width="4.81640625" style="3" bestFit="1" customWidth="1"/>
    <col min="23" max="23" width="5.453125" style="3" customWidth="1" outlineLevel="1"/>
    <col min="24" max="24" width="4.1796875" style="3" customWidth="1" outlineLevel="1"/>
    <col min="25" max="25" width="4.7265625" style="3" customWidth="1" outlineLevel="1"/>
    <col min="26" max="26" width="6.6328125" style="3" customWidth="1" outlineLevel="1"/>
    <col min="27" max="27" width="1.1796875" style="3" customWidth="1"/>
    <col min="28" max="28" width="1.1796875" style="10" customWidth="1"/>
    <col min="29" max="29" width="1.1796875" style="3" customWidth="1"/>
    <col min="30" max="30" width="12.54296875" style="3" bestFit="1" customWidth="1"/>
    <col min="31" max="31" width="12.26953125" style="3" bestFit="1" customWidth="1"/>
    <col min="32" max="32" width="6.6328125" style="3" bestFit="1" customWidth="1"/>
    <col min="33" max="33" width="8.54296875" style="3" bestFit="1" customWidth="1"/>
    <col min="34" max="34" width="1.1796875" style="3" customWidth="1"/>
    <col min="35" max="35" width="1.1796875" style="10" customWidth="1"/>
    <col min="36" max="36" width="1.1796875" style="3" customWidth="1"/>
    <col min="37" max="37" width="23" style="3" bestFit="1" customWidth="1"/>
    <col min="38" max="38" width="6.36328125" style="3" bestFit="1" customWidth="1"/>
    <col min="39" max="39" width="10.08984375" style="3" bestFit="1" customWidth="1"/>
    <col min="40" max="40" width="8.54296875" style="3" bestFit="1" customWidth="1"/>
    <col min="41" max="16384" width="10.90625" style="3"/>
  </cols>
  <sheetData>
    <row r="1" spans="1:41" ht="12.5" thickBot="1">
      <c r="A1" s="27" t="s">
        <v>7</v>
      </c>
      <c r="B1" s="27" t="s">
        <v>0</v>
      </c>
      <c r="C1" s="27" t="s">
        <v>0</v>
      </c>
      <c r="D1" s="172" t="s">
        <v>85</v>
      </c>
      <c r="E1" s="173"/>
      <c r="F1" s="174"/>
      <c r="G1" s="172" t="s">
        <v>86</v>
      </c>
      <c r="H1" s="174"/>
      <c r="I1" s="27"/>
      <c r="J1" s="27" t="s">
        <v>110</v>
      </c>
      <c r="K1" s="27" t="s">
        <v>101</v>
      </c>
      <c r="L1" s="27"/>
      <c r="M1" s="27"/>
      <c r="N1" s="172" t="s">
        <v>111</v>
      </c>
      <c r="O1" s="174"/>
      <c r="P1" s="27"/>
      <c r="Q1" s="27"/>
      <c r="R1" s="34" t="s">
        <v>112</v>
      </c>
      <c r="S1" s="27" t="s">
        <v>113</v>
      </c>
      <c r="T1" s="27" t="s">
        <v>15</v>
      </c>
      <c r="U1" s="27" t="s">
        <v>114</v>
      </c>
      <c r="V1" s="35"/>
      <c r="W1" s="172" t="s">
        <v>95</v>
      </c>
      <c r="X1" s="173"/>
      <c r="Y1" s="173"/>
      <c r="Z1" s="174"/>
      <c r="AD1" s="169" t="s">
        <v>12</v>
      </c>
      <c r="AE1" s="170"/>
      <c r="AF1" s="170"/>
      <c r="AG1" s="171"/>
      <c r="AH1" s="31"/>
      <c r="AI1" s="37"/>
      <c r="AJ1" s="31"/>
      <c r="AK1" s="169" t="s">
        <v>9</v>
      </c>
      <c r="AL1" s="170"/>
      <c r="AM1" s="170"/>
      <c r="AN1" s="171"/>
    </row>
    <row r="2" spans="1:41">
      <c r="A2" s="42" t="s">
        <v>96</v>
      </c>
      <c r="B2" s="42" t="s">
        <v>115</v>
      </c>
      <c r="C2" s="42" t="s">
        <v>116</v>
      </c>
      <c r="D2" s="53" t="s">
        <v>5</v>
      </c>
      <c r="E2" s="53" t="s">
        <v>6</v>
      </c>
      <c r="F2" s="53" t="s">
        <v>7</v>
      </c>
      <c r="G2" s="53" t="s">
        <v>5</v>
      </c>
      <c r="H2" s="53" t="s">
        <v>7</v>
      </c>
      <c r="I2" s="42" t="s">
        <v>77</v>
      </c>
      <c r="J2" s="42" t="s">
        <v>117</v>
      </c>
      <c r="K2" s="42" t="s">
        <v>118</v>
      </c>
      <c r="L2" s="42" t="s">
        <v>119</v>
      </c>
      <c r="M2" s="42" t="s">
        <v>120</v>
      </c>
      <c r="N2" s="32" t="s">
        <v>101</v>
      </c>
      <c r="O2" s="32" t="s">
        <v>27</v>
      </c>
      <c r="P2" s="42" t="s">
        <v>121</v>
      </c>
      <c r="Q2" s="42" t="s">
        <v>122</v>
      </c>
      <c r="R2" s="42" t="s">
        <v>123</v>
      </c>
      <c r="S2" s="42" t="s">
        <v>124</v>
      </c>
      <c r="T2" s="42" t="s">
        <v>3</v>
      </c>
      <c r="U2" s="42" t="s">
        <v>125</v>
      </c>
      <c r="V2" s="54" t="s">
        <v>126</v>
      </c>
      <c r="W2" s="32" t="s">
        <v>0</v>
      </c>
      <c r="X2" s="32" t="s">
        <v>5</v>
      </c>
      <c r="Y2" s="32" t="s">
        <v>6</v>
      </c>
      <c r="Z2" s="32" t="s">
        <v>7</v>
      </c>
      <c r="AD2" s="25" t="s">
        <v>13</v>
      </c>
      <c r="AE2" s="25" t="s">
        <v>14</v>
      </c>
      <c r="AF2" s="25" t="s">
        <v>8</v>
      </c>
      <c r="AG2" s="25" t="s">
        <v>15</v>
      </c>
      <c r="AH2" s="31"/>
      <c r="AI2" s="37"/>
      <c r="AJ2" s="31"/>
      <c r="AK2" s="27" t="s">
        <v>1</v>
      </c>
      <c r="AL2" s="27" t="s">
        <v>2</v>
      </c>
      <c r="AM2" s="25" t="s">
        <v>19</v>
      </c>
      <c r="AN2" s="25" t="s">
        <v>3</v>
      </c>
    </row>
    <row r="3" spans="1:41">
      <c r="A3" s="55" t="s">
        <v>136</v>
      </c>
      <c r="B3" s="56">
        <v>44604</v>
      </c>
      <c r="C3" s="56">
        <v>44604</v>
      </c>
      <c r="D3" s="55" t="s">
        <v>16</v>
      </c>
      <c r="E3" s="55" t="s">
        <v>133</v>
      </c>
      <c r="F3" s="55" t="s">
        <v>137</v>
      </c>
      <c r="G3" s="55" t="s">
        <v>60</v>
      </c>
      <c r="H3" s="9">
        <v>20205075889</v>
      </c>
      <c r="I3" s="24" t="s">
        <v>17</v>
      </c>
      <c r="J3" s="57">
        <v>0</v>
      </c>
      <c r="K3" s="58">
        <f>+AN3</f>
        <v>16500</v>
      </c>
      <c r="L3" s="58">
        <v>0</v>
      </c>
      <c r="M3" s="58">
        <v>0</v>
      </c>
      <c r="N3" s="58">
        <v>0</v>
      </c>
      <c r="O3" s="58">
        <v>0</v>
      </c>
      <c r="P3" s="58">
        <v>0</v>
      </c>
      <c r="Q3" s="58">
        <f>+K3*18%</f>
        <v>2970</v>
      </c>
      <c r="R3" s="58">
        <v>0</v>
      </c>
      <c r="S3" s="58">
        <v>0</v>
      </c>
      <c r="T3" s="58">
        <f>+SUM(K3:S3)</f>
        <v>19470</v>
      </c>
      <c r="U3" s="19"/>
      <c r="V3" s="48">
        <v>1</v>
      </c>
      <c r="W3" s="9"/>
      <c r="X3" s="9"/>
      <c r="Y3" s="9"/>
      <c r="Z3" s="9"/>
      <c r="AD3" s="38" t="s">
        <v>157</v>
      </c>
      <c r="AE3" s="39" t="s">
        <v>154</v>
      </c>
      <c r="AF3" s="39" t="s">
        <v>11</v>
      </c>
      <c r="AG3" s="40">
        <f>+T3</f>
        <v>19470</v>
      </c>
      <c r="AH3" s="31"/>
      <c r="AI3" s="37"/>
      <c r="AJ3" s="31"/>
      <c r="AK3" s="9" t="s">
        <v>156</v>
      </c>
      <c r="AL3" s="45">
        <v>500</v>
      </c>
      <c r="AM3" s="45">
        <v>33</v>
      </c>
      <c r="AN3" s="19">
        <f t="shared" ref="AN3:AN6" si="0">+AL3*AM3</f>
        <v>16500</v>
      </c>
    </row>
    <row r="4" spans="1:41">
      <c r="A4" s="55" t="s">
        <v>138</v>
      </c>
      <c r="B4" s="56">
        <f>+B3</f>
        <v>44604</v>
      </c>
      <c r="C4" s="56">
        <f>+C3+1</f>
        <v>44605</v>
      </c>
      <c r="D4" s="55" t="s">
        <v>16</v>
      </c>
      <c r="E4" s="55" t="s">
        <v>133</v>
      </c>
      <c r="F4" s="55" t="s">
        <v>139</v>
      </c>
      <c r="G4" s="55" t="s">
        <v>60</v>
      </c>
      <c r="H4" s="9">
        <v>20205075889</v>
      </c>
      <c r="I4" s="24" t="s">
        <v>17</v>
      </c>
      <c r="J4" s="57">
        <v>0</v>
      </c>
      <c r="K4" s="58">
        <f t="shared" ref="K4:K6" si="1">+AN4</f>
        <v>7000</v>
      </c>
      <c r="L4" s="58">
        <v>0</v>
      </c>
      <c r="M4" s="58">
        <v>0</v>
      </c>
      <c r="N4" s="58">
        <v>0</v>
      </c>
      <c r="O4" s="58">
        <v>0</v>
      </c>
      <c r="P4" s="58">
        <v>0</v>
      </c>
      <c r="Q4" s="58">
        <f t="shared" ref="Q4:Q6" si="2">+K4*18%</f>
        <v>1260</v>
      </c>
      <c r="R4" s="58">
        <v>0</v>
      </c>
      <c r="S4" s="58">
        <v>0</v>
      </c>
      <c r="T4" s="58">
        <f t="shared" ref="T4:T6" si="3">+SUM(K4:S4)</f>
        <v>8260</v>
      </c>
      <c r="U4" s="19"/>
      <c r="V4" s="48">
        <v>1</v>
      </c>
      <c r="W4" s="9"/>
      <c r="X4" s="9"/>
      <c r="Y4" s="9"/>
      <c r="Z4" s="9"/>
      <c r="AD4" s="38" t="s">
        <v>153</v>
      </c>
      <c r="AE4" s="39" t="s">
        <v>154</v>
      </c>
      <c r="AF4" s="39" t="s">
        <v>11</v>
      </c>
      <c r="AG4" s="40">
        <f t="shared" ref="AG4" si="4">+T4</f>
        <v>8260</v>
      </c>
      <c r="AH4" s="31"/>
      <c r="AI4" s="37"/>
      <c r="AJ4" s="31"/>
      <c r="AK4" s="9" t="s">
        <v>156</v>
      </c>
      <c r="AL4" s="19">
        <v>200</v>
      </c>
      <c r="AM4" s="19">
        <v>35</v>
      </c>
      <c r="AN4" s="19">
        <f t="shared" si="0"/>
        <v>7000</v>
      </c>
      <c r="AO4" s="7"/>
    </row>
    <row r="5" spans="1:41">
      <c r="A5" s="55" t="s">
        <v>140</v>
      </c>
      <c r="B5" s="56">
        <f>+B4</f>
        <v>44604</v>
      </c>
      <c r="C5" s="56">
        <f t="shared" ref="C5:C6" si="5">+C4+1</f>
        <v>44606</v>
      </c>
      <c r="D5" s="55" t="s">
        <v>16</v>
      </c>
      <c r="E5" s="55" t="s">
        <v>133</v>
      </c>
      <c r="F5" s="55" t="s">
        <v>141</v>
      </c>
      <c r="G5" s="55" t="s">
        <v>60</v>
      </c>
      <c r="H5" s="9">
        <v>20205073257</v>
      </c>
      <c r="I5" s="9" t="s">
        <v>18</v>
      </c>
      <c r="J5" s="57">
        <v>0</v>
      </c>
      <c r="K5" s="58">
        <f t="shared" si="1"/>
        <v>680</v>
      </c>
      <c r="L5" s="58">
        <v>0</v>
      </c>
      <c r="M5" s="58">
        <v>0</v>
      </c>
      <c r="N5" s="58">
        <v>0</v>
      </c>
      <c r="O5" s="58">
        <v>0</v>
      </c>
      <c r="P5" s="58">
        <v>0</v>
      </c>
      <c r="Q5" s="58">
        <f t="shared" si="2"/>
        <v>122.39999999999999</v>
      </c>
      <c r="R5" s="58">
        <v>0</v>
      </c>
      <c r="S5" s="58">
        <v>0</v>
      </c>
      <c r="T5" s="58">
        <f t="shared" si="3"/>
        <v>802.4</v>
      </c>
      <c r="U5" s="19"/>
      <c r="V5" s="48">
        <v>1</v>
      </c>
      <c r="W5" s="9"/>
      <c r="X5" s="9"/>
      <c r="Y5" s="9"/>
      <c r="Z5" s="9"/>
      <c r="AD5" s="38" t="s">
        <v>153</v>
      </c>
      <c r="AE5" s="39" t="s">
        <v>154</v>
      </c>
      <c r="AF5" s="39" t="s">
        <v>11</v>
      </c>
      <c r="AG5" s="40">
        <f t="shared" ref="AG5:AG6" si="6">+T5</f>
        <v>802.4</v>
      </c>
      <c r="AH5" s="31"/>
      <c r="AI5" s="37"/>
      <c r="AJ5" s="31"/>
      <c r="AK5" s="9" t="s">
        <v>156</v>
      </c>
      <c r="AL5" s="45">
        <v>20</v>
      </c>
      <c r="AM5" s="45">
        <v>34</v>
      </c>
      <c r="AN5" s="19">
        <f t="shared" si="0"/>
        <v>680</v>
      </c>
    </row>
    <row r="6" spans="1:41">
      <c r="A6" s="55" t="s">
        <v>142</v>
      </c>
      <c r="B6" s="56">
        <f t="shared" ref="B6" si="7">+B5+1</f>
        <v>44605</v>
      </c>
      <c r="C6" s="56">
        <f t="shared" si="5"/>
        <v>44607</v>
      </c>
      <c r="D6" s="55" t="s">
        <v>16</v>
      </c>
      <c r="E6" s="55" t="s">
        <v>133</v>
      </c>
      <c r="F6" s="55" t="s">
        <v>143</v>
      </c>
      <c r="G6" s="55" t="s">
        <v>60</v>
      </c>
      <c r="H6" s="9">
        <v>20205073257</v>
      </c>
      <c r="I6" s="9" t="s">
        <v>18</v>
      </c>
      <c r="J6" s="57">
        <v>0</v>
      </c>
      <c r="K6" s="58">
        <f t="shared" si="1"/>
        <v>3400</v>
      </c>
      <c r="L6" s="58">
        <v>0</v>
      </c>
      <c r="M6" s="58">
        <v>0</v>
      </c>
      <c r="N6" s="58">
        <v>0</v>
      </c>
      <c r="O6" s="58">
        <v>0</v>
      </c>
      <c r="P6" s="58">
        <v>0</v>
      </c>
      <c r="Q6" s="58">
        <f t="shared" si="2"/>
        <v>612</v>
      </c>
      <c r="R6" s="58">
        <v>0</v>
      </c>
      <c r="S6" s="58">
        <v>0</v>
      </c>
      <c r="T6" s="58">
        <f t="shared" si="3"/>
        <v>4012</v>
      </c>
      <c r="U6" s="19"/>
      <c r="V6" s="48">
        <v>1</v>
      </c>
      <c r="W6" s="9"/>
      <c r="X6" s="9"/>
      <c r="Y6" s="9"/>
      <c r="Z6" s="9"/>
      <c r="AD6" s="38" t="s">
        <v>153</v>
      </c>
      <c r="AE6" s="39" t="s">
        <v>154</v>
      </c>
      <c r="AF6" s="39" t="s">
        <v>11</v>
      </c>
      <c r="AG6" s="40">
        <f t="shared" si="6"/>
        <v>4012</v>
      </c>
      <c r="AK6" s="9" t="s">
        <v>156</v>
      </c>
      <c r="AL6" s="5">
        <v>100</v>
      </c>
      <c r="AM6" s="5">
        <v>34</v>
      </c>
      <c r="AN6" s="19">
        <f t="shared" si="0"/>
        <v>3400</v>
      </c>
    </row>
    <row r="7" spans="1:41" ht="12.5" thickBot="1">
      <c r="K7" s="101">
        <f>+SUM(K3:K6)</f>
        <v>27580</v>
      </c>
      <c r="Q7" s="101">
        <f>+SUM(Q3:Q6)</f>
        <v>4964.3999999999996</v>
      </c>
      <c r="T7" s="101">
        <f>+SUM(T3:T6)</f>
        <v>32544.400000000001</v>
      </c>
    </row>
    <row r="8" spans="1:41" ht="12.5" thickTop="1">
      <c r="K8" s="3" t="s">
        <v>199</v>
      </c>
      <c r="Q8" s="3" t="s">
        <v>198</v>
      </c>
      <c r="T8" s="3" t="s">
        <v>197</v>
      </c>
    </row>
    <row r="14" spans="1:41">
      <c r="Q14" s="7">
        <f>+I14-K14</f>
        <v>0</v>
      </c>
    </row>
    <row r="18" spans="15:17">
      <c r="Q18" s="7">
        <f>+I18-K18</f>
        <v>0</v>
      </c>
    </row>
    <row r="20" spans="15:17">
      <c r="O20" s="85"/>
      <c r="P20" s="85"/>
      <c r="Q20" s="85"/>
    </row>
    <row r="21" spans="15:17">
      <c r="O21" s="85"/>
      <c r="P21" s="85"/>
      <c r="Q21" s="85"/>
    </row>
    <row r="22" spans="15:17">
      <c r="Q22" s="7">
        <f>+I22-K22</f>
        <v>0</v>
      </c>
    </row>
  </sheetData>
  <mergeCells count="6">
    <mergeCell ref="AK1:AN1"/>
    <mergeCell ref="D1:F1"/>
    <mergeCell ref="G1:H1"/>
    <mergeCell ref="N1:O1"/>
    <mergeCell ref="W1:Z1"/>
    <mergeCell ref="AD1:AG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K26"/>
  <sheetViews>
    <sheetView showGridLines="0" workbookViewId="0">
      <pane xSplit="4" ySplit="3" topLeftCell="E5" activePane="bottomRight" state="frozen"/>
      <selection pane="topRight" activeCell="E1" sqref="E1"/>
      <selection pane="bottomLeft" activeCell="A4" sqref="A4"/>
      <selection pane="bottomRight" activeCell="B4" sqref="B4:C24"/>
    </sheetView>
  </sheetViews>
  <sheetFormatPr baseColWidth="10" defaultColWidth="11.453125" defaultRowHeight="12"/>
  <cols>
    <col min="1" max="1" width="3.7265625" style="3" customWidth="1"/>
    <col min="2" max="2" width="3.7265625" style="3" bestFit="1" customWidth="1"/>
    <col min="3" max="3" width="41.81640625" style="3" bestFit="1" customWidth="1"/>
    <col min="4" max="5" width="11.453125" style="3"/>
    <col min="6" max="6" width="11.81640625" style="3" bestFit="1" customWidth="1"/>
    <col min="7" max="16384" width="11.453125" style="3"/>
  </cols>
  <sheetData>
    <row r="1" spans="2:11" ht="12.5" thickBot="1"/>
    <row r="2" spans="2:11" ht="12.5" thickBot="1">
      <c r="B2" s="14" t="s">
        <v>50</v>
      </c>
      <c r="C2" s="14" t="s">
        <v>51</v>
      </c>
      <c r="D2" s="1" t="s">
        <v>52</v>
      </c>
      <c r="E2" s="1"/>
    </row>
    <row r="3" spans="2:11" ht="12.5" thickBot="1">
      <c r="B3" s="15"/>
      <c r="C3" s="15"/>
      <c r="D3" s="6" t="s">
        <v>53</v>
      </c>
      <c r="E3" s="6" t="s">
        <v>54</v>
      </c>
    </row>
    <row r="4" spans="2:11">
      <c r="B4" s="13">
        <v>10</v>
      </c>
      <c r="C4" s="4" t="s">
        <v>32</v>
      </c>
      <c r="D4" s="12" t="e">
        <f>+SUMIF(#REF!,B.C.!B4,#REF!)</f>
        <v>#REF!</v>
      </c>
      <c r="E4" s="5" t="e">
        <f>+SUMIF(#REF!,B.C.!B4,#REF!)</f>
        <v>#REF!</v>
      </c>
      <c r="F4" s="16" t="e">
        <f>+D4-E4</f>
        <v>#REF!</v>
      </c>
      <c r="G4" s="4"/>
      <c r="H4" s="4"/>
      <c r="I4" s="4"/>
      <c r="J4" s="4"/>
      <c r="K4" s="4"/>
    </row>
    <row r="5" spans="2:11">
      <c r="B5" s="4">
        <v>12</v>
      </c>
      <c r="C5" s="4" t="s">
        <v>31</v>
      </c>
      <c r="D5" s="5" t="e">
        <f>+SUMIF(#REF!,B.C.!B5,#REF!)</f>
        <v>#REF!</v>
      </c>
      <c r="E5" s="5" t="e">
        <f>+SUMIF(#REF!,B.C.!B5,#REF!)</f>
        <v>#REF!</v>
      </c>
      <c r="F5" s="16" t="e">
        <f t="shared" ref="F5:F24" si="0">+D5-E5</f>
        <v>#REF!</v>
      </c>
      <c r="G5" s="4"/>
      <c r="H5" s="4"/>
      <c r="I5" s="4"/>
      <c r="J5" s="4"/>
      <c r="K5" s="4"/>
    </row>
    <row r="6" spans="2:11">
      <c r="B6" s="4">
        <v>14</v>
      </c>
      <c r="C6" s="4" t="s">
        <v>45</v>
      </c>
      <c r="D6" s="5" t="e">
        <f>+SUMIF(#REF!,B.C.!B6,#REF!)</f>
        <v>#REF!</v>
      </c>
      <c r="E6" s="5" t="e">
        <f>+SUMIF(#REF!,B.C.!B6,#REF!)</f>
        <v>#REF!</v>
      </c>
      <c r="F6" s="16" t="e">
        <f t="shared" si="0"/>
        <v>#REF!</v>
      </c>
      <c r="G6" s="4"/>
      <c r="H6" s="4"/>
      <c r="I6" s="4"/>
      <c r="J6" s="4"/>
      <c r="K6" s="4"/>
    </row>
    <row r="7" spans="2:11">
      <c r="B7" s="4">
        <v>18</v>
      </c>
      <c r="C7" s="4" t="s">
        <v>33</v>
      </c>
      <c r="D7" s="5" t="e">
        <f>+SUMIF(#REF!,B.C.!B7,#REF!)</f>
        <v>#REF!</v>
      </c>
      <c r="E7" s="5" t="e">
        <f>+SUMIF(#REF!,B.C.!B7,#REF!)</f>
        <v>#REF!</v>
      </c>
      <c r="F7" s="16" t="e">
        <f t="shared" si="0"/>
        <v>#REF!</v>
      </c>
      <c r="G7" s="4"/>
      <c r="H7" s="4"/>
      <c r="I7" s="4"/>
      <c r="J7" s="4"/>
      <c r="K7" s="4"/>
    </row>
    <row r="8" spans="2:11">
      <c r="B8" s="4">
        <v>20</v>
      </c>
      <c r="C8" s="4" t="s">
        <v>34</v>
      </c>
      <c r="D8" s="5" t="e">
        <f>+SUMIF(#REF!,B.C.!B8,#REF!)</f>
        <v>#REF!</v>
      </c>
      <c r="E8" s="5" t="e">
        <f>+SUMIF(#REF!,B.C.!B8,#REF!)</f>
        <v>#REF!</v>
      </c>
      <c r="F8" s="16" t="e">
        <f t="shared" si="0"/>
        <v>#REF!</v>
      </c>
      <c r="G8" s="4"/>
      <c r="H8" s="4"/>
      <c r="I8" s="4"/>
      <c r="J8" s="4"/>
      <c r="K8" s="4"/>
    </row>
    <row r="9" spans="2:11">
      <c r="B9" s="4">
        <v>40</v>
      </c>
      <c r="C9" s="4" t="s">
        <v>35</v>
      </c>
      <c r="D9" s="5" t="e">
        <f>+SUMIF(#REF!,B.C.!B9,#REF!)</f>
        <v>#REF!</v>
      </c>
      <c r="E9" s="5" t="e">
        <f>+SUMIF(#REF!,B.C.!B9,#REF!)</f>
        <v>#REF!</v>
      </c>
      <c r="F9" s="16" t="e">
        <f t="shared" si="0"/>
        <v>#REF!</v>
      </c>
      <c r="G9" s="4"/>
      <c r="H9" s="4"/>
      <c r="I9" s="4"/>
      <c r="J9" s="4"/>
      <c r="K9" s="4"/>
    </row>
    <row r="10" spans="2:11">
      <c r="B10" s="4">
        <v>41</v>
      </c>
      <c r="C10" s="4" t="s">
        <v>36</v>
      </c>
      <c r="D10" s="5" t="e">
        <f>+SUMIF(#REF!,B.C.!B10,#REF!)</f>
        <v>#REF!</v>
      </c>
      <c r="E10" s="5" t="e">
        <f>+SUMIF(#REF!,B.C.!B10,#REF!)</f>
        <v>#REF!</v>
      </c>
      <c r="F10" s="16" t="e">
        <f t="shared" si="0"/>
        <v>#REF!</v>
      </c>
      <c r="G10" s="4"/>
      <c r="H10" s="4"/>
      <c r="I10" s="4"/>
      <c r="J10" s="4"/>
      <c r="K10" s="4"/>
    </row>
    <row r="11" spans="2:11">
      <c r="B11" s="4">
        <v>42</v>
      </c>
      <c r="C11" s="4" t="s">
        <v>37</v>
      </c>
      <c r="D11" s="5" t="e">
        <f>+SUMIF(#REF!,B.C.!B11,#REF!)</f>
        <v>#REF!</v>
      </c>
      <c r="E11" s="5" t="e">
        <f>+SUMIF(#REF!,B.C.!B11,#REF!)</f>
        <v>#REF!</v>
      </c>
      <c r="F11" s="16" t="e">
        <f t="shared" si="0"/>
        <v>#REF!</v>
      </c>
      <c r="G11" s="4"/>
      <c r="H11" s="4"/>
      <c r="I11" s="4"/>
      <c r="J11" s="4"/>
      <c r="K11" s="4"/>
    </row>
    <row r="12" spans="2:11">
      <c r="B12" s="4">
        <v>43</v>
      </c>
      <c r="C12" s="4" t="s">
        <v>38</v>
      </c>
      <c r="D12" s="5" t="e">
        <f>+SUMIF(#REF!,B.C.!B12,#REF!)</f>
        <v>#REF!</v>
      </c>
      <c r="E12" s="5" t="e">
        <f>+SUMIF(#REF!,B.C.!B12,#REF!)</f>
        <v>#REF!</v>
      </c>
      <c r="F12" s="16" t="e">
        <f t="shared" si="0"/>
        <v>#REF!</v>
      </c>
      <c r="G12" s="4"/>
      <c r="H12" s="4"/>
      <c r="I12" s="4"/>
      <c r="J12" s="4"/>
      <c r="K12" s="4"/>
    </row>
    <row r="13" spans="2:11">
      <c r="B13" s="4">
        <v>46</v>
      </c>
      <c r="C13" s="4" t="s">
        <v>39</v>
      </c>
      <c r="D13" s="5" t="e">
        <f>+SUMIF(#REF!,B.C.!B13,#REF!)</f>
        <v>#REF!</v>
      </c>
      <c r="E13" s="5" t="e">
        <f>+SUMIF(#REF!,B.C.!B13,#REF!)</f>
        <v>#REF!</v>
      </c>
      <c r="F13" s="16" t="e">
        <f t="shared" si="0"/>
        <v>#REF!</v>
      </c>
      <c r="G13" s="4"/>
      <c r="H13" s="4"/>
      <c r="I13" s="4"/>
      <c r="J13" s="4"/>
      <c r="K13" s="4"/>
    </row>
    <row r="14" spans="2:11">
      <c r="B14" s="4">
        <v>50</v>
      </c>
      <c r="C14" s="4" t="s">
        <v>40</v>
      </c>
      <c r="D14" s="5" t="e">
        <f>+SUMIF(#REF!,B.C.!B14,#REF!)</f>
        <v>#REF!</v>
      </c>
      <c r="E14" s="5" t="e">
        <f>+SUMIF(#REF!,B.C.!B14,#REF!)</f>
        <v>#REF!</v>
      </c>
      <c r="F14" s="16" t="e">
        <f t="shared" si="0"/>
        <v>#REF!</v>
      </c>
      <c r="G14" s="4"/>
      <c r="H14" s="4"/>
      <c r="I14" s="4"/>
      <c r="J14" s="4"/>
      <c r="K14" s="4"/>
    </row>
    <row r="15" spans="2:11">
      <c r="B15" s="4">
        <v>60</v>
      </c>
      <c r="C15" s="4" t="s">
        <v>41</v>
      </c>
      <c r="D15" s="5" t="e">
        <f>+SUMIF(#REF!,B.C.!B15,#REF!)</f>
        <v>#REF!</v>
      </c>
      <c r="E15" s="5" t="e">
        <f>+SUMIF(#REF!,B.C.!B15,#REF!)</f>
        <v>#REF!</v>
      </c>
      <c r="F15" s="16" t="e">
        <f t="shared" si="0"/>
        <v>#REF!</v>
      </c>
      <c r="G15" s="4"/>
      <c r="H15" s="4"/>
      <c r="I15" s="4"/>
      <c r="J15" s="4"/>
      <c r="K15" s="4"/>
    </row>
    <row r="16" spans="2:11">
      <c r="B16" s="4">
        <v>61</v>
      </c>
      <c r="C16" s="4" t="s">
        <v>42</v>
      </c>
      <c r="D16" s="5" t="e">
        <f>+SUMIF(#REF!,B.C.!B16,#REF!)</f>
        <v>#REF!</v>
      </c>
      <c r="E16" s="5" t="e">
        <f>+SUMIF(#REF!,B.C.!B16,#REF!)</f>
        <v>#REF!</v>
      </c>
      <c r="F16" s="16" t="e">
        <f t="shared" si="0"/>
        <v>#REF!</v>
      </c>
      <c r="G16" s="4"/>
      <c r="H16" s="4"/>
      <c r="I16" s="4"/>
      <c r="J16" s="4"/>
      <c r="K16" s="4"/>
    </row>
    <row r="17" spans="2:11">
      <c r="B17" s="4">
        <v>62</v>
      </c>
      <c r="C17" s="4" t="s">
        <v>43</v>
      </c>
      <c r="D17" s="5" t="e">
        <f>+SUMIF(#REF!,B.C.!B17,#REF!)</f>
        <v>#REF!</v>
      </c>
      <c r="E17" s="5" t="e">
        <f>+SUMIF(#REF!,B.C.!B17,#REF!)</f>
        <v>#REF!</v>
      </c>
      <c r="F17" s="16" t="e">
        <f t="shared" si="0"/>
        <v>#REF!</v>
      </c>
      <c r="G17" s="4"/>
      <c r="H17" s="4"/>
      <c r="I17" s="4"/>
      <c r="J17" s="4"/>
      <c r="K17" s="4"/>
    </row>
    <row r="18" spans="2:11">
      <c r="B18" s="4">
        <v>63</v>
      </c>
      <c r="C18" s="4" t="s">
        <v>44</v>
      </c>
      <c r="D18" s="5" t="e">
        <f>+SUMIF(#REF!,B.C.!B18,#REF!)</f>
        <v>#REF!</v>
      </c>
      <c r="E18" s="5" t="e">
        <f>+SUMIF(#REF!,B.C.!B18,#REF!)</f>
        <v>#REF!</v>
      </c>
      <c r="F18" s="16" t="e">
        <f t="shared" si="0"/>
        <v>#REF!</v>
      </c>
      <c r="G18" s="4"/>
      <c r="H18" s="4"/>
      <c r="I18" s="4"/>
      <c r="J18" s="4"/>
      <c r="K18" s="4"/>
    </row>
    <row r="19" spans="2:11">
      <c r="B19" s="4">
        <v>69</v>
      </c>
      <c r="C19" s="4" t="s">
        <v>55</v>
      </c>
      <c r="D19" s="5" t="e">
        <f>+SUMIF(#REF!,B.C.!B19,#REF!)</f>
        <v>#REF!</v>
      </c>
      <c r="E19" s="5" t="e">
        <f>+SUMIF(#REF!,B.C.!B19,#REF!)</f>
        <v>#REF!</v>
      </c>
      <c r="F19" s="16" t="e">
        <f t="shared" si="0"/>
        <v>#REF!</v>
      </c>
      <c r="G19" s="4"/>
      <c r="H19" s="4"/>
      <c r="I19" s="4"/>
      <c r="J19" s="4"/>
      <c r="K19" s="4"/>
    </row>
    <row r="20" spans="2:11">
      <c r="B20" s="4">
        <v>70</v>
      </c>
      <c r="C20" s="4" t="s">
        <v>46</v>
      </c>
      <c r="D20" s="5" t="e">
        <f>+SUMIF(#REF!,B.C.!B20,#REF!)</f>
        <v>#REF!</v>
      </c>
      <c r="E20" s="5" t="e">
        <f>+SUMIF(#REF!,B.C.!B20,#REF!)</f>
        <v>#REF!</v>
      </c>
      <c r="F20" s="16" t="e">
        <f t="shared" si="0"/>
        <v>#REF!</v>
      </c>
      <c r="G20" s="4"/>
      <c r="H20" s="4"/>
      <c r="I20" s="4"/>
      <c r="J20" s="4"/>
      <c r="K20" s="4"/>
    </row>
    <row r="21" spans="2:11">
      <c r="B21" s="4">
        <v>77</v>
      </c>
      <c r="C21" s="4" t="s">
        <v>56</v>
      </c>
      <c r="D21" s="5" t="e">
        <f>+SUMIF(#REF!,B.C.!B21,#REF!)</f>
        <v>#REF!</v>
      </c>
      <c r="E21" s="5" t="e">
        <f>+SUMIF(#REF!,B.C.!B21,#REF!)</f>
        <v>#REF!</v>
      </c>
      <c r="F21" s="16" t="e">
        <f t="shared" si="0"/>
        <v>#REF!</v>
      </c>
      <c r="G21" s="4"/>
      <c r="H21" s="4"/>
      <c r="I21" s="4"/>
      <c r="J21" s="4"/>
      <c r="K21" s="4"/>
    </row>
    <row r="22" spans="2:11">
      <c r="B22" s="4">
        <v>79</v>
      </c>
      <c r="C22" s="4" t="s">
        <v>47</v>
      </c>
      <c r="D22" s="5" t="e">
        <f>+SUMIF(#REF!,B.C.!B22,#REF!)</f>
        <v>#REF!</v>
      </c>
      <c r="E22" s="5" t="e">
        <f>+SUMIF(#REF!,B.C.!B22,#REF!)</f>
        <v>#REF!</v>
      </c>
      <c r="F22" s="16" t="e">
        <f t="shared" si="0"/>
        <v>#REF!</v>
      </c>
      <c r="G22" s="4"/>
      <c r="H22" s="4"/>
      <c r="I22" s="4"/>
      <c r="J22" s="4"/>
      <c r="K22" s="4"/>
    </row>
    <row r="23" spans="2:11">
      <c r="B23" s="4">
        <v>94</v>
      </c>
      <c r="C23" s="4" t="s">
        <v>48</v>
      </c>
      <c r="D23" s="5" t="e">
        <f>+SUMIF(#REF!,B.C.!B23,#REF!)</f>
        <v>#REF!</v>
      </c>
      <c r="E23" s="5" t="e">
        <f>+SUMIF(#REF!,B.C.!B23,#REF!)</f>
        <v>#REF!</v>
      </c>
      <c r="F23" s="16" t="e">
        <f t="shared" si="0"/>
        <v>#REF!</v>
      </c>
      <c r="G23" s="4"/>
      <c r="H23" s="4"/>
      <c r="I23" s="4"/>
      <c r="J23" s="4"/>
      <c r="K23" s="4"/>
    </row>
    <row r="24" spans="2:11">
      <c r="B24" s="4">
        <v>95</v>
      </c>
      <c r="C24" s="4" t="s">
        <v>49</v>
      </c>
      <c r="D24" s="5" t="e">
        <f>+SUMIF(#REF!,B.C.!B24,#REF!)</f>
        <v>#REF!</v>
      </c>
      <c r="E24" s="5" t="e">
        <f>+SUMIF(#REF!,B.C.!B24,#REF!)</f>
        <v>#REF!</v>
      </c>
      <c r="F24" s="16" t="e">
        <f t="shared" si="0"/>
        <v>#REF!</v>
      </c>
      <c r="G24" s="4"/>
      <c r="H24" s="4"/>
      <c r="I24" s="4"/>
      <c r="J24" s="4"/>
      <c r="K24" s="4"/>
    </row>
    <row r="25" spans="2:11" ht="12.5" thickBot="1">
      <c r="D25" s="11" t="e">
        <f>+SUM(D4:D24)</f>
        <v>#REF!</v>
      </c>
      <c r="E25" s="11" t="e">
        <f>+SUM(E4:E24)</f>
        <v>#REF!</v>
      </c>
    </row>
    <row r="26" spans="2:11" ht="12.5" thickTop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32D0B-0231-4A6A-BC46-B92941705F1B}">
  <sheetPr>
    <tabColor theme="9" tint="-0.499984740745262"/>
  </sheetPr>
  <dimension ref="A1:P45"/>
  <sheetViews>
    <sheetView showGridLines="0" zoomScale="110" zoomScaleNormal="110" workbookViewId="0">
      <pane xSplit="4" ySplit="10" topLeftCell="E30" activePane="bottomRight" state="frozen"/>
      <selection pane="topRight" activeCell="E1" sqref="E1"/>
      <selection pane="bottomLeft" activeCell="A11" sqref="A11"/>
      <selection pane="bottomRight" activeCell="C43" sqref="C43"/>
    </sheetView>
  </sheetViews>
  <sheetFormatPr baseColWidth="10" defaultRowHeight="12"/>
  <cols>
    <col min="1" max="1" width="5" style="3" customWidth="1"/>
    <col min="2" max="2" width="10.90625" style="3"/>
    <col min="3" max="3" width="14.54296875" style="3" bestFit="1" customWidth="1"/>
    <col min="4" max="4" width="12.81640625" style="3" bestFit="1" customWidth="1"/>
    <col min="5" max="5" width="15.08984375" style="3" customWidth="1"/>
    <col min="6" max="6" width="18.26953125" style="3" customWidth="1"/>
    <col min="7" max="7" width="3.7265625" style="3" bestFit="1" customWidth="1"/>
    <col min="8" max="8" width="3.453125" style="3" bestFit="1" customWidth="1"/>
    <col min="9" max="9" width="9" style="3" bestFit="1" customWidth="1"/>
    <col min="10" max="10" width="14.1796875" style="3" bestFit="1" customWidth="1"/>
    <col min="11" max="11" width="10.08984375" style="3" bestFit="1" customWidth="1"/>
    <col min="12" max="12" width="8" style="3" bestFit="1" customWidth="1"/>
    <col min="13" max="13" width="15.26953125" style="3" customWidth="1"/>
    <col min="14" max="14" width="6.6328125" style="3" bestFit="1" customWidth="1"/>
    <col min="15" max="15" width="10.36328125" style="3" bestFit="1" customWidth="1"/>
    <col min="16" max="16" width="8" style="3" bestFit="1" customWidth="1"/>
    <col min="17" max="17" width="11.7265625" style="3" bestFit="1" customWidth="1"/>
    <col min="18" max="18" width="9.7265625" style="3" bestFit="1" customWidth="1"/>
    <col min="19" max="19" width="7.90625" style="3" customWidth="1"/>
    <col min="20" max="20" width="8" style="3" bestFit="1" customWidth="1"/>
    <col min="21" max="21" width="12.26953125" style="3" bestFit="1" customWidth="1"/>
    <col min="22" max="22" width="9.54296875" style="3" bestFit="1" customWidth="1"/>
    <col min="23" max="23" width="1.7265625" style="3" customWidth="1"/>
    <col min="24" max="16384" width="10.90625" style="3"/>
  </cols>
  <sheetData>
    <row r="1" spans="1:13">
      <c r="A1" s="63" t="s">
        <v>61</v>
      </c>
      <c r="C1" s="2"/>
      <c r="D1" s="2"/>
      <c r="E1" s="2"/>
      <c r="F1" s="2"/>
      <c r="G1" s="2"/>
      <c r="H1" s="2"/>
      <c r="I1" s="2"/>
      <c r="J1" s="2"/>
      <c r="K1" s="2"/>
    </row>
    <row r="3" spans="1:13">
      <c r="A3" s="26" t="s">
        <v>74</v>
      </c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3">
      <c r="A4" s="23" t="s">
        <v>75</v>
      </c>
      <c r="C4" s="26"/>
      <c r="D4" s="26"/>
      <c r="E4" s="26"/>
      <c r="F4" s="26"/>
      <c r="G4" s="26"/>
      <c r="H4" s="26"/>
      <c r="I4" s="26"/>
      <c r="J4" s="26"/>
      <c r="K4" s="26"/>
      <c r="L4" s="26"/>
    </row>
    <row r="6" spans="1:13">
      <c r="A6" s="26" t="s">
        <v>212</v>
      </c>
    </row>
    <row r="8" spans="1:13">
      <c r="A8" s="3" t="s">
        <v>76</v>
      </c>
    </row>
    <row r="9" spans="1:13" ht="12.5" thickBot="1"/>
    <row r="10" spans="1:13">
      <c r="A10" s="129" t="s">
        <v>173</v>
      </c>
      <c r="B10" s="27" t="s">
        <v>77</v>
      </c>
      <c r="C10" s="27" t="s">
        <v>78</v>
      </c>
      <c r="D10" s="27" t="s">
        <v>79</v>
      </c>
      <c r="E10" s="27" t="s">
        <v>20</v>
      </c>
      <c r="F10" s="27" t="s">
        <v>80</v>
      </c>
      <c r="G10" s="27" t="s">
        <v>21</v>
      </c>
      <c r="H10" s="27" t="s">
        <v>177</v>
      </c>
    </row>
    <row r="11" spans="1:13">
      <c r="A11" s="78"/>
      <c r="B11" s="29" t="s">
        <v>81</v>
      </c>
      <c r="C11" s="29" t="s">
        <v>84</v>
      </c>
      <c r="D11" s="30">
        <v>44866</v>
      </c>
      <c r="E11" s="79">
        <v>18000</v>
      </c>
      <c r="F11" s="79">
        <v>102.5</v>
      </c>
      <c r="G11" s="80" t="s">
        <v>178</v>
      </c>
      <c r="H11" s="79">
        <v>0</v>
      </c>
      <c r="I11" s="119" t="s">
        <v>215</v>
      </c>
      <c r="J11" s="102"/>
      <c r="K11" s="102"/>
      <c r="L11" s="102"/>
      <c r="M11" s="102"/>
    </row>
    <row r="12" spans="1:13">
      <c r="A12" s="78"/>
      <c r="B12" s="29" t="s">
        <v>82</v>
      </c>
      <c r="C12" s="29" t="s">
        <v>83</v>
      </c>
      <c r="D12" s="30">
        <v>44866</v>
      </c>
      <c r="E12" s="79">
        <v>10000</v>
      </c>
      <c r="F12" s="79">
        <v>0</v>
      </c>
      <c r="G12" s="79">
        <v>0</v>
      </c>
      <c r="H12" s="80" t="s">
        <v>178</v>
      </c>
      <c r="I12" s="119" t="s">
        <v>215</v>
      </c>
      <c r="J12" s="102"/>
      <c r="K12" s="102"/>
      <c r="L12" s="102"/>
      <c r="M12" s="102"/>
    </row>
    <row r="13" spans="1:13">
      <c r="A13" s="78"/>
      <c r="B13" s="3" t="s">
        <v>236</v>
      </c>
    </row>
    <row r="14" spans="1:13">
      <c r="A14" s="78"/>
    </row>
    <row r="15" spans="1:13">
      <c r="A15" s="129" t="s">
        <v>174</v>
      </c>
      <c r="B15" s="3" t="s">
        <v>134</v>
      </c>
    </row>
    <row r="16" spans="1:13">
      <c r="A16" s="78"/>
    </row>
    <row r="17" spans="1:16">
      <c r="A17" s="129" t="s">
        <v>175</v>
      </c>
      <c r="B17" s="3" t="s">
        <v>135</v>
      </c>
    </row>
    <row r="18" spans="1:16">
      <c r="A18" s="78"/>
    </row>
    <row r="19" spans="1:16">
      <c r="A19" s="78" t="s">
        <v>176</v>
      </c>
      <c r="B19" s="3" t="s">
        <v>251</v>
      </c>
    </row>
    <row r="20" spans="1:16" ht="12.5" thickBot="1"/>
    <row r="21" spans="1:16" ht="12.5" thickBot="1">
      <c r="D21" s="28" t="s">
        <v>23</v>
      </c>
      <c r="E21" s="114" t="s">
        <v>15</v>
      </c>
      <c r="F21" s="28" t="s">
        <v>8</v>
      </c>
    </row>
    <row r="22" spans="1:16" ht="12.5" thickBot="1">
      <c r="B22" s="18"/>
      <c r="C22" s="18"/>
      <c r="D22" s="64" t="s">
        <v>22</v>
      </c>
      <c r="E22" s="65">
        <v>1000</v>
      </c>
      <c r="F22" s="66" t="s">
        <v>10</v>
      </c>
      <c r="G22" s="22" t="s">
        <v>4</v>
      </c>
      <c r="H22" s="18"/>
      <c r="I22" s="18"/>
      <c r="J22" s="18"/>
      <c r="K22" s="18"/>
      <c r="L22" s="18"/>
      <c r="M22" s="18"/>
      <c r="N22" s="18"/>
      <c r="O22" s="18"/>
      <c r="P22" s="18"/>
    </row>
    <row r="23" spans="1:16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>
      <c r="B24" s="22" t="s">
        <v>4</v>
      </c>
      <c r="C24" s="61" t="s">
        <v>203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>
      <c r="B25" s="22" t="s">
        <v>25</v>
      </c>
      <c r="C25" s="18" t="s">
        <v>214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8" spans="1:16" ht="12.5" thickBot="1">
      <c r="A28" s="78" t="s">
        <v>204</v>
      </c>
      <c r="B28" s="3" t="s">
        <v>210</v>
      </c>
    </row>
    <row r="29" spans="1:16" ht="30.5" customHeight="1">
      <c r="C29" s="25" t="s">
        <v>207</v>
      </c>
      <c r="D29" s="25" t="s">
        <v>164</v>
      </c>
      <c r="E29" s="25" t="s">
        <v>208</v>
      </c>
      <c r="F29" s="25" t="s">
        <v>209</v>
      </c>
    </row>
    <row r="30" spans="1:16">
      <c r="B30" s="3" t="s">
        <v>205</v>
      </c>
      <c r="C30" s="115">
        <v>13000</v>
      </c>
      <c r="D30" s="116">
        <v>44866</v>
      </c>
      <c r="E30" s="117">
        <v>0.25</v>
      </c>
      <c r="F30" s="117">
        <v>0.2</v>
      </c>
    </row>
    <row r="31" spans="1:16">
      <c r="B31" s="3" t="s">
        <v>206</v>
      </c>
      <c r="C31" s="115">
        <v>18000</v>
      </c>
      <c r="D31" s="116">
        <v>44866</v>
      </c>
      <c r="E31" s="117">
        <v>0.25</v>
      </c>
      <c r="F31" s="117">
        <v>0.2</v>
      </c>
    </row>
    <row r="34" spans="2:10">
      <c r="B34" s="63" t="s">
        <v>24</v>
      </c>
      <c r="C34" s="18"/>
      <c r="D34" s="18"/>
      <c r="E34" s="18"/>
      <c r="F34" s="18"/>
      <c r="G34" s="18"/>
      <c r="H34" s="18"/>
      <c r="I34" s="18"/>
      <c r="J34" s="18"/>
    </row>
    <row r="35" spans="2:10">
      <c r="B35" s="18"/>
      <c r="C35" s="18"/>
      <c r="D35" s="18"/>
      <c r="E35" s="18"/>
      <c r="F35" s="18"/>
      <c r="G35" s="18"/>
      <c r="H35" s="18"/>
      <c r="I35" s="18"/>
      <c r="J35" s="18"/>
    </row>
    <row r="36" spans="2:10">
      <c r="B36" s="18" t="s">
        <v>213</v>
      </c>
      <c r="C36" s="18"/>
      <c r="D36" s="18"/>
      <c r="E36" s="18"/>
      <c r="F36" s="18"/>
      <c r="G36" s="18"/>
      <c r="H36" s="18"/>
      <c r="I36" s="18"/>
      <c r="J36" s="18"/>
    </row>
    <row r="37" spans="2:10">
      <c r="B37" s="18" t="s">
        <v>26</v>
      </c>
      <c r="C37" s="18"/>
      <c r="D37" s="18"/>
      <c r="E37" s="18"/>
      <c r="F37" s="18"/>
      <c r="G37" s="18"/>
      <c r="H37" s="18"/>
      <c r="I37" s="18"/>
      <c r="J37" s="18"/>
    </row>
    <row r="38" spans="2:10">
      <c r="B38" s="18" t="s">
        <v>158</v>
      </c>
      <c r="C38" s="18"/>
      <c r="D38" s="18"/>
      <c r="E38" s="18"/>
      <c r="F38" s="18"/>
      <c r="G38" s="18"/>
      <c r="H38" s="18"/>
      <c r="I38" s="18"/>
      <c r="J38" s="18"/>
    </row>
    <row r="41" spans="2:10" s="102" customFormat="1"/>
    <row r="43" spans="2:10">
      <c r="B43" s="63" t="s">
        <v>252</v>
      </c>
    </row>
    <row r="44" spans="2:10" s="102" customFormat="1">
      <c r="B44" s="102" t="s">
        <v>253</v>
      </c>
    </row>
    <row r="45" spans="2:10" s="139" customFormat="1">
      <c r="B45" s="139" t="s">
        <v>254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A908-CD6A-4216-A0B4-A67D0E0D8C07}">
  <sheetPr>
    <tabColor theme="7" tint="-0.499984740745262"/>
  </sheetPr>
  <dimension ref="A1:AD49"/>
  <sheetViews>
    <sheetView showGridLines="0" zoomScale="110" zoomScaleNormal="110" workbookViewId="0">
      <pane xSplit="3" ySplit="3" topLeftCell="Q4" activePane="bottomRight" state="frozen"/>
      <selection pane="topRight" activeCell="D1" sqref="D1"/>
      <selection pane="bottomLeft" activeCell="A3" sqref="A3"/>
      <selection pane="bottomRight" activeCell="AD6" sqref="AD6"/>
    </sheetView>
  </sheetViews>
  <sheetFormatPr baseColWidth="10" defaultRowHeight="12"/>
  <cols>
    <col min="1" max="1" width="4" style="26" bestFit="1" customWidth="1"/>
    <col min="2" max="2" width="9.7265625" style="26" bestFit="1" customWidth="1"/>
    <col min="3" max="3" width="13.54296875" style="26" customWidth="1"/>
    <col min="4" max="4" width="12.54296875" style="26" bestFit="1" customWidth="1"/>
    <col min="5" max="5" width="8" style="26" bestFit="1" customWidth="1"/>
    <col min="6" max="6" width="14.1796875" style="26" bestFit="1" customWidth="1"/>
    <col min="7" max="8" width="3.6328125" style="26" bestFit="1" customWidth="1"/>
    <col min="9" max="9" width="0.81640625" style="26" customWidth="1"/>
    <col min="10" max="10" width="0.81640625" style="67" customWidth="1"/>
    <col min="11" max="11" width="0.81640625" style="26" customWidth="1"/>
    <col min="12" max="12" width="8" style="26" bestFit="1" customWidth="1"/>
    <col min="13" max="13" width="14.1796875" style="26" bestFit="1" customWidth="1"/>
    <col min="14" max="14" width="9.36328125" style="26" customWidth="1"/>
    <col min="15" max="15" width="10.26953125" style="26" bestFit="1" customWidth="1"/>
    <col min="16" max="16" width="13.7265625" style="26" bestFit="1" customWidth="1"/>
    <col min="17" max="17" width="16.90625" style="26" bestFit="1" customWidth="1"/>
    <col min="18" max="18" width="8.54296875" style="26" customWidth="1"/>
    <col min="19" max="19" width="7.7265625" style="26" bestFit="1" customWidth="1"/>
    <col min="20" max="20" width="11.7265625" style="26" bestFit="1" customWidth="1"/>
    <col min="21" max="21" width="9.7265625" style="26" bestFit="1" customWidth="1"/>
    <col min="22" max="22" width="1.54296875" style="26" customWidth="1"/>
    <col min="23" max="23" width="8.1796875" style="26" customWidth="1"/>
    <col min="24" max="24" width="10.90625" style="26"/>
    <col min="25" max="25" width="1.90625" style="26" customWidth="1"/>
    <col min="26" max="26" width="8.26953125" style="26" customWidth="1"/>
    <col min="27" max="27" width="9.90625" style="26" bestFit="1" customWidth="1"/>
    <col min="28" max="28" width="8.6328125" style="26" bestFit="1" customWidth="1"/>
    <col min="29" max="29" width="1.7265625" style="26" customWidth="1"/>
    <col min="30" max="16384" width="10.90625" style="26"/>
  </cols>
  <sheetData>
    <row r="1" spans="1:30" ht="12.5" thickBot="1"/>
    <row r="2" spans="1:30" ht="15" customHeight="1" thickBot="1">
      <c r="L2" s="160" t="s">
        <v>194</v>
      </c>
      <c r="M2" s="161"/>
      <c r="N2" s="162"/>
      <c r="O2" s="157" t="s">
        <v>192</v>
      </c>
      <c r="P2" s="158"/>
      <c r="Q2" s="158"/>
      <c r="R2" s="158"/>
      <c r="S2" s="158"/>
      <c r="T2" s="159"/>
      <c r="U2" s="86" t="s">
        <v>193</v>
      </c>
      <c r="W2" s="155" t="s">
        <v>181</v>
      </c>
      <c r="X2" s="156"/>
      <c r="Z2" s="163" t="s">
        <v>195</v>
      </c>
      <c r="AA2" s="164"/>
      <c r="AB2" s="165"/>
    </row>
    <row r="3" spans="1:30">
      <c r="A3" s="78" t="s">
        <v>173</v>
      </c>
      <c r="B3" s="27" t="s">
        <v>77</v>
      </c>
      <c r="C3" s="27" t="s">
        <v>78</v>
      </c>
      <c r="D3" s="27" t="s">
        <v>79</v>
      </c>
      <c r="E3" s="27" t="s">
        <v>20</v>
      </c>
      <c r="F3" s="27" t="s">
        <v>80</v>
      </c>
      <c r="G3" s="27" t="s">
        <v>21</v>
      </c>
      <c r="H3" s="27" t="s">
        <v>177</v>
      </c>
      <c r="L3" s="82" t="s">
        <v>20</v>
      </c>
      <c r="M3" s="82" t="s">
        <v>80</v>
      </c>
      <c r="N3" s="82" t="s">
        <v>168</v>
      </c>
      <c r="O3" s="83" t="s">
        <v>187</v>
      </c>
      <c r="P3" s="83" t="s">
        <v>188</v>
      </c>
      <c r="Q3" s="83" t="s">
        <v>189</v>
      </c>
      <c r="R3" s="83" t="s">
        <v>21</v>
      </c>
      <c r="S3" s="83" t="s">
        <v>179</v>
      </c>
      <c r="T3" s="83" t="s">
        <v>190</v>
      </c>
      <c r="U3" s="84" t="s">
        <v>191</v>
      </c>
      <c r="W3" s="27" t="s">
        <v>180</v>
      </c>
      <c r="X3" s="27" t="s">
        <v>182</v>
      </c>
      <c r="Z3" s="27" t="s">
        <v>185</v>
      </c>
      <c r="AA3" s="27" t="s">
        <v>186</v>
      </c>
      <c r="AB3" s="27" t="s">
        <v>163</v>
      </c>
      <c r="AD3" s="27" t="s">
        <v>196</v>
      </c>
    </row>
    <row r="4" spans="1:30">
      <c r="A4" s="78"/>
      <c r="B4" s="29" t="s">
        <v>81</v>
      </c>
      <c r="C4" s="118" t="s">
        <v>84</v>
      </c>
      <c r="D4" s="30">
        <v>44593</v>
      </c>
      <c r="E4" s="79">
        <v>18000</v>
      </c>
      <c r="F4" s="79">
        <v>102.5</v>
      </c>
      <c r="G4" s="80" t="s">
        <v>178</v>
      </c>
      <c r="H4" s="79">
        <v>0</v>
      </c>
      <c r="L4" s="79">
        <f>+E4</f>
        <v>18000</v>
      </c>
      <c r="M4" s="79">
        <f>+F4</f>
        <v>102.5</v>
      </c>
      <c r="N4" s="79">
        <f>+SUM(L4:M4)</f>
        <v>18102.5</v>
      </c>
      <c r="O4" s="79"/>
      <c r="P4" s="79"/>
      <c r="Q4" s="79"/>
      <c r="R4" s="79">
        <f>+N4*13%</f>
        <v>2353.3250000000003</v>
      </c>
      <c r="S4" s="81">
        <v>283.54000000000002</v>
      </c>
      <c r="T4" s="81">
        <f>+SUM(O4:S4)</f>
        <v>2636.8650000000002</v>
      </c>
      <c r="U4" s="81">
        <f>+N4-T4</f>
        <v>15465.635</v>
      </c>
      <c r="W4" s="21">
        <f>+N4*9%</f>
        <v>1629.2249999999999</v>
      </c>
      <c r="X4" s="21">
        <f>+'Op2'!W47-'Op1'!X5</f>
        <v>258.33333333333331</v>
      </c>
      <c r="Z4" s="21">
        <v>1508.5416666666667</v>
      </c>
      <c r="AA4" s="21">
        <v>3288.6208333333334</v>
      </c>
      <c r="AB4" s="21">
        <v>1508.5416666666667</v>
      </c>
      <c r="AD4" s="21">
        <f>+N4+W4+X4+Z4+AA4+AB4</f>
        <v>26295.762500000001</v>
      </c>
    </row>
    <row r="5" spans="1:30">
      <c r="A5" s="78"/>
      <c r="B5" s="29" t="s">
        <v>82</v>
      </c>
      <c r="C5" s="118" t="s">
        <v>83</v>
      </c>
      <c r="D5" s="30">
        <v>44593</v>
      </c>
      <c r="E5" s="79">
        <v>10000</v>
      </c>
      <c r="F5" s="79">
        <v>0</v>
      </c>
      <c r="G5" s="79">
        <v>0</v>
      </c>
      <c r="H5" s="80" t="s">
        <v>178</v>
      </c>
      <c r="L5" s="79">
        <f>+E5</f>
        <v>10000</v>
      </c>
      <c r="M5" s="79">
        <v>0</v>
      </c>
      <c r="N5" s="79">
        <f>+SUM(L5:M5)</f>
        <v>10000</v>
      </c>
      <c r="O5" s="79">
        <f>+N5*1.55%</f>
        <v>155</v>
      </c>
      <c r="P5" s="79">
        <f>+N5*1.74%</f>
        <v>174</v>
      </c>
      <c r="Q5" s="79">
        <f>+N5*10%</f>
        <v>1000</v>
      </c>
      <c r="R5" s="79"/>
      <c r="S5" s="81">
        <v>0</v>
      </c>
      <c r="T5" s="81">
        <f>+SUM(O5:S5)</f>
        <v>1329</v>
      </c>
      <c r="U5" s="81">
        <f>+N5-T5</f>
        <v>8671</v>
      </c>
      <c r="W5" s="21">
        <f>+N5*9%</f>
        <v>900</v>
      </c>
      <c r="X5" s="21">
        <v>200</v>
      </c>
      <c r="Z5" s="21">
        <v>833.33333333333337</v>
      </c>
      <c r="AA5" s="21">
        <v>1816.6666666666667</v>
      </c>
      <c r="AB5" s="21">
        <v>833.33333333333337</v>
      </c>
      <c r="AD5" s="21">
        <f>+N5+W5+X5+Z5+AA5+AB5</f>
        <v>14583.333333333334</v>
      </c>
    </row>
    <row r="6" spans="1:30" ht="12.5" thickBot="1">
      <c r="N6" s="8">
        <f>+SUM(N4:N5)</f>
        <v>28102.5</v>
      </c>
      <c r="O6" s="8">
        <f t="shared" ref="O6:S6" si="0">+SUM(O4:O5)</f>
        <v>155</v>
      </c>
      <c r="P6" s="8">
        <f t="shared" si="0"/>
        <v>174</v>
      </c>
      <c r="Q6" s="8">
        <f t="shared" si="0"/>
        <v>1000</v>
      </c>
      <c r="R6" s="8">
        <f t="shared" si="0"/>
        <v>2353.3250000000003</v>
      </c>
      <c r="S6" s="8">
        <f t="shared" si="0"/>
        <v>283.54000000000002</v>
      </c>
      <c r="T6" s="120">
        <f>+SUM(T4:T5)</f>
        <v>3965.8650000000002</v>
      </c>
      <c r="U6" s="8">
        <f>+SUM(U4:U5)</f>
        <v>24136.635000000002</v>
      </c>
      <c r="W6" s="8">
        <f t="shared" ref="W6:X6" si="1">+SUM(W4:W5)</f>
        <v>2529.2249999999999</v>
      </c>
      <c r="X6" s="8">
        <f t="shared" si="1"/>
        <v>458.33333333333331</v>
      </c>
      <c r="Z6" s="8">
        <f t="shared" ref="Z6" si="2">+SUM(Z4:Z5)</f>
        <v>2341.875</v>
      </c>
      <c r="AA6" s="8">
        <f t="shared" ref="AA6" si="3">+SUM(AA4:AA5)</f>
        <v>5105.2875000000004</v>
      </c>
      <c r="AB6" s="8">
        <f t="shared" ref="AB6:AD6" si="4">+SUM(AB4:AB5)</f>
        <v>2341.875</v>
      </c>
      <c r="AD6" s="8">
        <f t="shared" si="4"/>
        <v>40879.095833333333</v>
      </c>
    </row>
    <row r="7" spans="1:30" ht="12.5" thickTop="1">
      <c r="N7" s="26">
        <v>6211</v>
      </c>
      <c r="O7" s="121">
        <v>417</v>
      </c>
      <c r="P7" s="121">
        <v>417</v>
      </c>
      <c r="Q7" s="121">
        <v>417</v>
      </c>
      <c r="R7" s="26">
        <v>4032</v>
      </c>
      <c r="S7" s="26">
        <v>40173</v>
      </c>
      <c r="U7" s="26">
        <v>4111</v>
      </c>
      <c r="W7" s="26">
        <v>6271</v>
      </c>
      <c r="X7" s="26">
        <v>6274</v>
      </c>
      <c r="Z7" s="26">
        <v>6291</v>
      </c>
      <c r="AA7" s="26">
        <v>6214</v>
      </c>
      <c r="AB7" s="26">
        <v>6215</v>
      </c>
    </row>
    <row r="8" spans="1:30">
      <c r="N8" s="26" t="s">
        <v>216</v>
      </c>
      <c r="O8" s="26" t="s">
        <v>217</v>
      </c>
      <c r="P8" s="26" t="s">
        <v>217</v>
      </c>
      <c r="Q8" s="26" t="s">
        <v>217</v>
      </c>
      <c r="R8" s="26" t="s">
        <v>21</v>
      </c>
      <c r="S8" s="26" t="s">
        <v>218</v>
      </c>
      <c r="U8" s="26" t="s">
        <v>219</v>
      </c>
      <c r="W8" s="26" t="s">
        <v>222</v>
      </c>
      <c r="X8" s="26" t="s">
        <v>223</v>
      </c>
      <c r="Z8" s="26" t="s">
        <v>225</v>
      </c>
      <c r="AA8" s="26" t="s">
        <v>224</v>
      </c>
      <c r="AB8" s="26" t="s">
        <v>163</v>
      </c>
    </row>
    <row r="9" spans="1:30">
      <c r="W9" s="26">
        <v>4031</v>
      </c>
      <c r="X9" s="26">
        <v>4039</v>
      </c>
      <c r="Z9" s="26">
        <v>4151</v>
      </c>
      <c r="AA9" s="26">
        <v>4114</v>
      </c>
      <c r="AB9" s="26">
        <v>4115</v>
      </c>
    </row>
    <row r="10" spans="1:30">
      <c r="N10" s="26" t="s">
        <v>29</v>
      </c>
      <c r="O10" s="26" t="s">
        <v>30</v>
      </c>
      <c r="W10" s="26" t="s">
        <v>220</v>
      </c>
      <c r="X10" s="26" t="s">
        <v>221</v>
      </c>
      <c r="Z10" s="26" t="s">
        <v>228</v>
      </c>
      <c r="AA10" s="26" t="s">
        <v>226</v>
      </c>
      <c r="AB10" s="26" t="s">
        <v>227</v>
      </c>
    </row>
    <row r="11" spans="1:30">
      <c r="L11" s="124">
        <v>6211</v>
      </c>
      <c r="M11" s="124" t="s">
        <v>216</v>
      </c>
      <c r="N11" s="125">
        <f>+N6</f>
        <v>28102.5</v>
      </c>
      <c r="O11" s="124"/>
    </row>
    <row r="12" spans="1:30">
      <c r="L12" s="128">
        <v>417</v>
      </c>
      <c r="M12" s="126" t="s">
        <v>217</v>
      </c>
      <c r="N12" s="126"/>
      <c r="O12" s="127">
        <f>+SUM(O6:Q6)</f>
        <v>1329</v>
      </c>
    </row>
    <row r="13" spans="1:30">
      <c r="L13" s="126">
        <v>4032</v>
      </c>
      <c r="M13" s="126" t="s">
        <v>21</v>
      </c>
      <c r="N13" s="126"/>
      <c r="O13" s="127">
        <f>+R6</f>
        <v>2353.3250000000003</v>
      </c>
    </row>
    <row r="14" spans="1:30">
      <c r="L14" s="126">
        <v>40173</v>
      </c>
      <c r="M14" s="126" t="s">
        <v>218</v>
      </c>
      <c r="N14" s="126"/>
      <c r="O14" s="127">
        <f>+S6</f>
        <v>283.54000000000002</v>
      </c>
    </row>
    <row r="15" spans="1:30">
      <c r="L15" s="126">
        <v>4111</v>
      </c>
      <c r="M15" s="126" t="s">
        <v>219</v>
      </c>
      <c r="N15" s="126"/>
      <c r="O15" s="127">
        <f>+U6</f>
        <v>24136.635000000002</v>
      </c>
    </row>
    <row r="16" spans="1:30" ht="12.5" thickBot="1">
      <c r="N16" s="8">
        <f>+SUM(N11:N15)</f>
        <v>28102.5</v>
      </c>
      <c r="O16" s="8">
        <f>+SUM(O11:O15)</f>
        <v>28102.500000000004</v>
      </c>
      <c r="P16" s="122">
        <f>+N16-O16</f>
        <v>0</v>
      </c>
    </row>
    <row r="17" spans="12:16" ht="12.5" thickTop="1"/>
    <row r="18" spans="12:16">
      <c r="L18" s="26">
        <v>92</v>
      </c>
      <c r="M18" s="26" t="s">
        <v>48</v>
      </c>
      <c r="N18" s="122">
        <f>+N5</f>
        <v>10000</v>
      </c>
    </row>
    <row r="19" spans="12:16">
      <c r="L19" s="26">
        <v>93</v>
      </c>
      <c r="M19" s="26" t="s">
        <v>49</v>
      </c>
      <c r="N19" s="122">
        <f>+N4</f>
        <v>18102.5</v>
      </c>
    </row>
    <row r="20" spans="12:16">
      <c r="L20" s="26">
        <v>79</v>
      </c>
      <c r="M20" s="26" t="s">
        <v>229</v>
      </c>
      <c r="O20" s="122">
        <f>+SUM(N18:N19)</f>
        <v>28102.5</v>
      </c>
    </row>
    <row r="21" spans="12:16" ht="12.5" thickBot="1">
      <c r="N21" s="8">
        <f>+SUM(N18:N20)</f>
        <v>28102.5</v>
      </c>
      <c r="O21" s="8">
        <f>+SUM(O18:O20)</f>
        <v>28102.5</v>
      </c>
      <c r="P21" s="122">
        <f>+N21-O21</f>
        <v>0</v>
      </c>
    </row>
    <row r="22" spans="12:16" ht="12.5" thickTop="1"/>
    <row r="25" spans="12:16">
      <c r="L25" s="124">
        <v>6271</v>
      </c>
      <c r="M25" s="124" t="s">
        <v>222</v>
      </c>
      <c r="N25" s="125">
        <f>+W6</f>
        <v>2529.2249999999999</v>
      </c>
      <c r="O25" s="124"/>
    </row>
    <row r="26" spans="12:16">
      <c r="L26" s="126">
        <v>4031</v>
      </c>
      <c r="M26" s="126" t="s">
        <v>220</v>
      </c>
      <c r="N26" s="126"/>
      <c r="O26" s="127">
        <f>+N25</f>
        <v>2529.2249999999999</v>
      </c>
    </row>
    <row r="27" spans="12:16">
      <c r="L27" s="124">
        <v>6274</v>
      </c>
      <c r="M27" s="124" t="s">
        <v>223</v>
      </c>
      <c r="N27" s="125">
        <f>+X6</f>
        <v>458.33333333333331</v>
      </c>
      <c r="O27" s="123"/>
    </row>
    <row r="28" spans="12:16">
      <c r="L28" s="126">
        <v>4039</v>
      </c>
      <c r="M28" s="126" t="s">
        <v>221</v>
      </c>
      <c r="N28" s="126"/>
      <c r="O28" s="127">
        <f>+N27</f>
        <v>458.33333333333331</v>
      </c>
    </row>
    <row r="29" spans="12:16" ht="12.5" thickBot="1">
      <c r="N29" s="8">
        <f>+SUM(N25:N28)</f>
        <v>2987.5583333333334</v>
      </c>
      <c r="O29" s="8">
        <f>+SUM(O25:O28)</f>
        <v>2987.5583333333334</v>
      </c>
    </row>
    <row r="30" spans="12:16" ht="12.5" thickTop="1"/>
    <row r="31" spans="12:16">
      <c r="L31" s="26">
        <v>92</v>
      </c>
      <c r="M31" s="26" t="s">
        <v>48</v>
      </c>
      <c r="N31" s="122">
        <f>+SUM(W5:X5)</f>
        <v>1100</v>
      </c>
    </row>
    <row r="32" spans="12:16">
      <c r="L32" s="26">
        <v>93</v>
      </c>
      <c r="M32" s="26" t="s">
        <v>49</v>
      </c>
      <c r="N32" s="122">
        <f>+SUM(W4:X4)</f>
        <v>1887.5583333333332</v>
      </c>
    </row>
    <row r="33" spans="12:16">
      <c r="L33" s="26">
        <v>79</v>
      </c>
      <c r="M33" s="26" t="s">
        <v>229</v>
      </c>
      <c r="O33" s="122">
        <f>+SUM(N31:N32)</f>
        <v>2987.5583333333334</v>
      </c>
    </row>
    <row r="34" spans="12:16" ht="12.5" thickBot="1">
      <c r="N34" s="8">
        <f>+SUM(N31:N33)</f>
        <v>2987.5583333333334</v>
      </c>
      <c r="O34" s="8">
        <f>+SUM(O31:O33)</f>
        <v>2987.5583333333334</v>
      </c>
      <c r="P34" s="122">
        <f>+N34-O34</f>
        <v>0</v>
      </c>
    </row>
    <row r="35" spans="12:16" ht="12.5" thickTop="1"/>
    <row r="36" spans="12:16">
      <c r="L36" s="124">
        <v>6291</v>
      </c>
      <c r="M36" s="124" t="s">
        <v>225</v>
      </c>
      <c r="N36" s="125">
        <f>+Z6</f>
        <v>2341.875</v>
      </c>
      <c r="O36" s="123"/>
    </row>
    <row r="37" spans="12:16">
      <c r="L37" s="126">
        <v>4151</v>
      </c>
      <c r="M37" s="126" t="s">
        <v>228</v>
      </c>
      <c r="N37" s="126"/>
      <c r="O37" s="127">
        <f>+N36</f>
        <v>2341.875</v>
      </c>
    </row>
    <row r="38" spans="12:16">
      <c r="L38" s="124">
        <v>6214</v>
      </c>
      <c r="M38" s="124" t="s">
        <v>224</v>
      </c>
      <c r="N38" s="125">
        <f>+AA6</f>
        <v>5105.2875000000004</v>
      </c>
      <c r="O38" s="124"/>
    </row>
    <row r="39" spans="12:16">
      <c r="L39" s="126">
        <v>4114</v>
      </c>
      <c r="M39" s="126" t="s">
        <v>226</v>
      </c>
      <c r="N39" s="126"/>
      <c r="O39" s="127">
        <f>+N38</f>
        <v>5105.2875000000004</v>
      </c>
    </row>
    <row r="40" spans="12:16">
      <c r="L40" s="124">
        <v>6215</v>
      </c>
      <c r="M40" s="124" t="s">
        <v>163</v>
      </c>
      <c r="N40" s="125">
        <f>+AB6</f>
        <v>2341.875</v>
      </c>
      <c r="O40" s="124"/>
    </row>
    <row r="41" spans="12:16">
      <c r="L41" s="126">
        <v>4115</v>
      </c>
      <c r="M41" s="126" t="s">
        <v>227</v>
      </c>
      <c r="N41" s="126"/>
      <c r="O41" s="127">
        <f>+N40</f>
        <v>2341.875</v>
      </c>
    </row>
    <row r="42" spans="12:16" ht="12.5" thickBot="1">
      <c r="N42" s="8">
        <f>+SUM(N36:N41)</f>
        <v>9789.0375000000004</v>
      </c>
      <c r="O42" s="8">
        <f>+SUM(O36:O41)</f>
        <v>9789.0375000000004</v>
      </c>
    </row>
    <row r="43" spans="12:16" ht="12.5" thickTop="1"/>
    <row r="45" spans="12:16">
      <c r="L45" s="26">
        <v>92</v>
      </c>
      <c r="M45" s="26" t="s">
        <v>48</v>
      </c>
      <c r="N45" s="122">
        <f>+SUM(Z5:AB5)</f>
        <v>3483.3333333333335</v>
      </c>
    </row>
    <row r="46" spans="12:16">
      <c r="L46" s="26">
        <v>93</v>
      </c>
      <c r="M46" s="26" t="s">
        <v>49</v>
      </c>
      <c r="N46" s="122">
        <f>+SUM(Z4:AB4)</f>
        <v>6305.7041666666673</v>
      </c>
    </row>
    <row r="47" spans="12:16">
      <c r="L47" s="26">
        <v>79</v>
      </c>
      <c r="M47" s="26" t="s">
        <v>229</v>
      </c>
      <c r="O47" s="122">
        <f>+SUM(N45:N46)</f>
        <v>9789.0375000000004</v>
      </c>
    </row>
    <row r="48" spans="12:16" ht="12.5" thickBot="1">
      <c r="N48" s="8">
        <f>+SUM(N45:N47)</f>
        <v>9789.0375000000004</v>
      </c>
      <c r="O48" s="8">
        <f>+SUM(O45:O47)</f>
        <v>9789.0375000000004</v>
      </c>
      <c r="P48" s="122">
        <f>+N48-O48</f>
        <v>0</v>
      </c>
    </row>
    <row r="49" ht="12.5" thickTop="1"/>
  </sheetData>
  <mergeCells count="4">
    <mergeCell ref="W2:X2"/>
    <mergeCell ref="O2:T2"/>
    <mergeCell ref="L2:N2"/>
    <mergeCell ref="Z2:AB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3DADB-2A7E-4EA8-A7A2-F12139EDBF46}">
  <sheetPr>
    <tabColor theme="7" tint="-0.499984740745262"/>
  </sheetPr>
  <dimension ref="A1:AR67"/>
  <sheetViews>
    <sheetView showGridLines="0" workbookViewId="0">
      <pane xSplit="10" ySplit="2" topLeftCell="K36" activePane="bottomRight" state="frozen"/>
      <selection pane="topRight" activeCell="K1" sqref="K1"/>
      <selection pane="bottomLeft" activeCell="A3" sqref="A3"/>
      <selection pane="bottomRight" activeCell="B44" sqref="B44"/>
    </sheetView>
  </sheetViews>
  <sheetFormatPr baseColWidth="10" defaultRowHeight="12" outlineLevelCol="1"/>
  <cols>
    <col min="1" max="1" width="9.08984375" style="31" bestFit="1" customWidth="1"/>
    <col min="2" max="2" width="9.08984375" style="31" customWidth="1"/>
    <col min="3" max="3" width="10.36328125" style="31" hidden="1" customWidth="1" outlineLevel="1"/>
    <col min="4" max="4" width="3.36328125" style="31" bestFit="1" customWidth="1" collapsed="1"/>
    <col min="5" max="5" width="4.7265625" style="31" bestFit="1" customWidth="1"/>
    <col min="6" max="6" width="3.90625" style="31" bestFit="1" customWidth="1"/>
    <col min="7" max="7" width="7.453125" style="31" bestFit="1" customWidth="1"/>
    <col min="8" max="8" width="4.1796875" style="31" bestFit="1" customWidth="1"/>
    <col min="9" max="9" width="9.90625" style="31" bestFit="1" customWidth="1"/>
    <col min="10" max="10" width="7.90625" style="31" bestFit="1" customWidth="1"/>
    <col min="11" max="12" width="9.36328125" style="31" bestFit="1" customWidth="1"/>
    <col min="13" max="13" width="8.7265625" style="31" hidden="1" customWidth="1" outlineLevel="1"/>
    <col min="14" max="14" width="5.26953125" style="31" hidden="1" customWidth="1" outlineLevel="1"/>
    <col min="15" max="15" width="8.7265625" style="31" hidden="1" customWidth="1" outlineLevel="1"/>
    <col min="16" max="16" width="5.26953125" style="31" hidden="1" customWidth="1" outlineLevel="1"/>
    <col min="17" max="17" width="12.08984375" style="31" hidden="1" customWidth="1" outlineLevel="1"/>
    <col min="18" max="18" width="5.54296875" style="31" hidden="1" customWidth="1" outlineLevel="1"/>
    <col min="19" max="19" width="23" style="31" hidden="1" customWidth="1" outlineLevel="1"/>
    <col min="20" max="20" width="12.26953125" style="31" hidden="1" customWidth="1" outlineLevel="1"/>
    <col min="21" max="21" width="9.36328125" style="31" bestFit="1" customWidth="1" collapsed="1"/>
    <col min="22" max="22" width="26.7265625" style="31" hidden="1" customWidth="1" outlineLevel="1"/>
    <col min="23" max="23" width="8.26953125" style="31" bestFit="1" customWidth="1" collapsed="1"/>
    <col min="24" max="24" width="9.08984375" style="31" bestFit="1" customWidth="1"/>
    <col min="25" max="25" width="7.36328125" style="31" bestFit="1" customWidth="1"/>
    <col min="26" max="26" width="5.453125" style="31" hidden="1" customWidth="1" outlineLevel="1"/>
    <col min="27" max="27" width="4.1796875" style="31" hidden="1" customWidth="1" outlineLevel="1"/>
    <col min="28" max="28" width="4.7265625" style="31" hidden="1" customWidth="1" outlineLevel="1"/>
    <col min="29" max="29" width="6.6328125" style="31" hidden="1" customWidth="1" outlineLevel="1"/>
    <col min="30" max="30" width="1.36328125" style="31" customWidth="1" collapsed="1"/>
    <col min="31" max="31" width="1.36328125" style="37" customWidth="1"/>
    <col min="32" max="32" width="1.36328125" style="31" customWidth="1"/>
    <col min="33" max="33" width="36.26953125" style="31" bestFit="1" customWidth="1"/>
    <col min="34" max="34" width="10.453125" style="31" bestFit="1" customWidth="1"/>
    <col min="35" max="35" width="6.6328125" style="31" bestFit="1" customWidth="1"/>
    <col min="36" max="36" width="7.7265625" style="31" bestFit="1" customWidth="1"/>
    <col min="37" max="37" width="1.36328125" style="31" customWidth="1" collapsed="1"/>
    <col min="38" max="38" width="1.36328125" style="37" customWidth="1"/>
    <col min="39" max="39" width="1.36328125" style="31" customWidth="1"/>
    <col min="40" max="40" width="31.08984375" style="31" customWidth="1"/>
    <col min="41" max="43" width="10.90625" style="31"/>
    <col min="44" max="44" width="13.90625" style="31" customWidth="1"/>
    <col min="45" max="16384" width="10.90625" style="31"/>
  </cols>
  <sheetData>
    <row r="1" spans="1:44" ht="12.5" thickBot="1">
      <c r="A1" s="27" t="s">
        <v>7</v>
      </c>
      <c r="B1" s="27"/>
      <c r="C1" s="27"/>
      <c r="D1" s="172" t="s">
        <v>85</v>
      </c>
      <c r="E1" s="173"/>
      <c r="F1" s="173"/>
      <c r="G1" s="174"/>
      <c r="H1" s="172" t="s">
        <v>86</v>
      </c>
      <c r="I1" s="173"/>
      <c r="J1" s="32"/>
      <c r="K1" s="175" t="s">
        <v>87</v>
      </c>
      <c r="L1" s="176"/>
      <c r="M1" s="177" t="s">
        <v>88</v>
      </c>
      <c r="N1" s="176"/>
      <c r="O1" s="177" t="s">
        <v>89</v>
      </c>
      <c r="P1" s="178"/>
      <c r="Q1" s="33" t="s">
        <v>90</v>
      </c>
      <c r="R1" s="33"/>
      <c r="S1" s="33" t="s">
        <v>91</v>
      </c>
      <c r="T1" s="33" t="s">
        <v>92</v>
      </c>
      <c r="U1" s="33" t="s">
        <v>15</v>
      </c>
      <c r="V1" s="27" t="s">
        <v>93</v>
      </c>
      <c r="W1" s="166" t="s">
        <v>94</v>
      </c>
      <c r="X1" s="168"/>
      <c r="Y1" s="27"/>
      <c r="Z1" s="166" t="s">
        <v>95</v>
      </c>
      <c r="AA1" s="167"/>
      <c r="AB1" s="167"/>
      <c r="AC1" s="168"/>
      <c r="AG1" s="169" t="s">
        <v>12</v>
      </c>
      <c r="AH1" s="170"/>
      <c r="AI1" s="170"/>
      <c r="AJ1" s="171"/>
      <c r="AN1" s="169" t="s">
        <v>9</v>
      </c>
      <c r="AO1" s="170"/>
      <c r="AP1" s="170"/>
      <c r="AQ1" s="171"/>
    </row>
    <row r="2" spans="1:44">
      <c r="A2" s="42" t="s">
        <v>96</v>
      </c>
      <c r="B2" s="42" t="s">
        <v>0</v>
      </c>
      <c r="C2" s="42" t="s">
        <v>97</v>
      </c>
      <c r="D2" s="27" t="s">
        <v>98</v>
      </c>
      <c r="E2" s="27" t="s">
        <v>6</v>
      </c>
      <c r="F2" s="27" t="s">
        <v>99</v>
      </c>
      <c r="G2" s="27" t="s">
        <v>7</v>
      </c>
      <c r="H2" s="27" t="s">
        <v>5</v>
      </c>
      <c r="I2" s="35" t="s">
        <v>7</v>
      </c>
      <c r="J2" s="17" t="s">
        <v>100</v>
      </c>
      <c r="K2" s="43" t="s">
        <v>101</v>
      </c>
      <c r="L2" s="43" t="s">
        <v>102</v>
      </c>
      <c r="M2" s="43" t="s">
        <v>101</v>
      </c>
      <c r="N2" s="43" t="s">
        <v>102</v>
      </c>
      <c r="O2" s="43" t="s">
        <v>101</v>
      </c>
      <c r="P2" s="43" t="s">
        <v>102</v>
      </c>
      <c r="Q2" s="44" t="s">
        <v>103</v>
      </c>
      <c r="R2" s="44" t="s">
        <v>104</v>
      </c>
      <c r="S2" s="44" t="s">
        <v>105</v>
      </c>
      <c r="T2" s="44" t="s">
        <v>106</v>
      </c>
      <c r="U2" s="44" t="s">
        <v>3</v>
      </c>
      <c r="V2" s="42" t="s">
        <v>107</v>
      </c>
      <c r="W2" s="27" t="s">
        <v>108</v>
      </c>
      <c r="X2" s="27" t="s">
        <v>0</v>
      </c>
      <c r="Y2" s="42" t="s">
        <v>109</v>
      </c>
      <c r="Z2" s="27" t="s">
        <v>0</v>
      </c>
      <c r="AA2" s="27" t="s">
        <v>5</v>
      </c>
      <c r="AB2" s="27" t="s">
        <v>6</v>
      </c>
      <c r="AC2" s="27" t="s">
        <v>7</v>
      </c>
      <c r="AG2" s="25" t="s">
        <v>13</v>
      </c>
      <c r="AH2" s="25" t="s">
        <v>14</v>
      </c>
      <c r="AI2" s="25" t="s">
        <v>8</v>
      </c>
      <c r="AJ2" s="25" t="s">
        <v>15</v>
      </c>
      <c r="AN2" s="27" t="s">
        <v>1</v>
      </c>
      <c r="AO2" s="27" t="s">
        <v>2</v>
      </c>
      <c r="AP2" s="25" t="s">
        <v>19</v>
      </c>
      <c r="AQ2" s="25" t="s">
        <v>3</v>
      </c>
      <c r="AR2" s="25" t="s">
        <v>167</v>
      </c>
    </row>
    <row r="3" spans="1:44">
      <c r="A3" s="49" t="s">
        <v>172</v>
      </c>
      <c r="B3" s="50">
        <v>44868</v>
      </c>
      <c r="C3" s="50">
        <v>44926</v>
      </c>
      <c r="D3" s="49" t="s">
        <v>16</v>
      </c>
      <c r="E3" s="49" t="s">
        <v>131</v>
      </c>
      <c r="F3" s="49" t="s">
        <v>130</v>
      </c>
      <c r="G3" s="51" t="s">
        <v>146</v>
      </c>
      <c r="H3" s="49" t="s">
        <v>60</v>
      </c>
      <c r="I3" s="49">
        <v>10345678910</v>
      </c>
      <c r="J3" s="49" t="s">
        <v>150</v>
      </c>
      <c r="K3" s="52">
        <f>+AQ3</f>
        <v>125000</v>
      </c>
      <c r="L3" s="52">
        <f>+K3*18%</f>
        <v>22500</v>
      </c>
      <c r="M3" s="52">
        <v>0</v>
      </c>
      <c r="N3" s="52">
        <v>0</v>
      </c>
      <c r="O3" s="52">
        <v>0</v>
      </c>
      <c r="P3" s="52">
        <v>0</v>
      </c>
      <c r="Q3" s="52">
        <v>0</v>
      </c>
      <c r="R3" s="52">
        <v>0</v>
      </c>
      <c r="S3" s="52">
        <v>0</v>
      </c>
      <c r="T3" s="52">
        <v>0</v>
      </c>
      <c r="U3" s="52">
        <f>+K3+L3</f>
        <v>147500</v>
      </c>
      <c r="V3" s="47"/>
      <c r="W3" s="47"/>
      <c r="X3" s="47"/>
      <c r="Y3" s="48">
        <v>1</v>
      </c>
      <c r="Z3" s="47"/>
      <c r="AA3" s="47"/>
      <c r="AB3" s="47"/>
      <c r="AC3" s="47"/>
      <c r="AD3" s="39"/>
      <c r="AE3" s="60"/>
      <c r="AF3" s="39"/>
      <c r="AG3" s="41" t="s">
        <v>230</v>
      </c>
      <c r="AH3" s="39"/>
      <c r="AI3" s="39"/>
      <c r="AJ3" s="40"/>
      <c r="AN3" s="9" t="s">
        <v>155</v>
      </c>
      <c r="AO3" s="19">
        <v>5000</v>
      </c>
      <c r="AP3" s="19">
        <v>25</v>
      </c>
      <c r="AQ3" s="19">
        <f t="shared" ref="AQ3:AQ4" si="0">+AO3*AP3</f>
        <v>125000</v>
      </c>
      <c r="AR3" s="21" t="s">
        <v>165</v>
      </c>
    </row>
    <row r="4" spans="1:44">
      <c r="A4" s="49" t="s">
        <v>132</v>
      </c>
      <c r="B4" s="50">
        <v>44872</v>
      </c>
      <c r="C4" s="50">
        <v>44926</v>
      </c>
      <c r="D4" s="49" t="s">
        <v>16</v>
      </c>
      <c r="E4" s="49" t="s">
        <v>131</v>
      </c>
      <c r="F4" s="49" t="s">
        <v>130</v>
      </c>
      <c r="G4" s="51" t="s">
        <v>147</v>
      </c>
      <c r="H4" s="49" t="s">
        <v>60</v>
      </c>
      <c r="I4" s="49">
        <v>10345678910</v>
      </c>
      <c r="J4" s="49" t="s">
        <v>150</v>
      </c>
      <c r="K4" s="52">
        <f>+AQ4</f>
        <v>189000</v>
      </c>
      <c r="L4" s="52">
        <f t="shared" ref="L4:L27" si="1">+K4*18%</f>
        <v>34020</v>
      </c>
      <c r="M4" s="52">
        <v>0</v>
      </c>
      <c r="N4" s="52">
        <v>0</v>
      </c>
      <c r="O4" s="52">
        <v>0</v>
      </c>
      <c r="P4" s="52">
        <v>0</v>
      </c>
      <c r="Q4" s="52">
        <v>0</v>
      </c>
      <c r="R4" s="52">
        <v>0</v>
      </c>
      <c r="S4" s="52">
        <v>0</v>
      </c>
      <c r="T4" s="52">
        <v>0</v>
      </c>
      <c r="U4" s="52">
        <f>+K4+L4</f>
        <v>223020</v>
      </c>
      <c r="V4" s="47"/>
      <c r="W4" s="47"/>
      <c r="X4" s="47"/>
      <c r="Y4" s="48">
        <v>1</v>
      </c>
      <c r="Z4" s="47"/>
      <c r="AA4" s="47"/>
      <c r="AB4" s="47"/>
      <c r="AC4" s="47"/>
      <c r="AD4" s="39"/>
      <c r="AE4" s="60"/>
      <c r="AF4" s="39"/>
      <c r="AG4" s="41" t="s">
        <v>230</v>
      </c>
      <c r="AH4" s="39"/>
      <c r="AI4" s="39"/>
      <c r="AJ4" s="40"/>
      <c r="AN4" s="9" t="s">
        <v>155</v>
      </c>
      <c r="AO4" s="19">
        <v>7000</v>
      </c>
      <c r="AP4" s="19">
        <v>27</v>
      </c>
      <c r="AQ4" s="19">
        <f t="shared" si="0"/>
        <v>189000</v>
      </c>
      <c r="AR4" s="21" t="s">
        <v>166</v>
      </c>
    </row>
    <row r="5" spans="1:44" ht="12.5" thickBot="1">
      <c r="K5" s="99">
        <f>+SUM(K3:K4)</f>
        <v>314000</v>
      </c>
      <c r="L5" s="99">
        <f>+SUM(L3:L4)</f>
        <v>56520</v>
      </c>
      <c r="M5" s="99"/>
      <c r="N5" s="99"/>
      <c r="O5" s="99"/>
      <c r="P5" s="99"/>
      <c r="Q5" s="99"/>
      <c r="R5" s="99"/>
      <c r="S5" s="99"/>
      <c r="T5" s="99"/>
      <c r="U5" s="99">
        <f>+SUM(U3:U4)</f>
        <v>370520</v>
      </c>
      <c r="V5" s="95"/>
      <c r="W5" s="95"/>
      <c r="X5" s="95"/>
      <c r="Y5" s="96"/>
      <c r="Z5" s="95"/>
      <c r="AA5" s="95"/>
      <c r="AB5" s="95"/>
      <c r="AC5" s="95"/>
      <c r="AD5" s="88"/>
      <c r="AE5" s="89"/>
      <c r="AF5" s="88"/>
      <c r="AG5" s="97"/>
      <c r="AH5" s="88"/>
      <c r="AI5" s="88"/>
      <c r="AJ5" s="90"/>
      <c r="AN5" s="61"/>
      <c r="AO5" s="98"/>
      <c r="AP5" s="98"/>
      <c r="AQ5" s="98"/>
      <c r="AR5" s="87"/>
    </row>
    <row r="6" spans="1:44" ht="12.5" thickTop="1">
      <c r="K6" s="100">
        <v>6011</v>
      </c>
      <c r="L6" s="100">
        <v>4011</v>
      </c>
      <c r="M6" s="100">
        <v>6011</v>
      </c>
      <c r="N6" s="100">
        <v>6011</v>
      </c>
      <c r="O6" s="100">
        <v>6011</v>
      </c>
      <c r="P6" s="100">
        <v>6011</v>
      </c>
      <c r="Q6" s="100">
        <v>6011</v>
      </c>
      <c r="R6" s="100">
        <v>6011</v>
      </c>
      <c r="S6" s="100">
        <v>6011</v>
      </c>
      <c r="T6" s="100">
        <v>6011</v>
      </c>
      <c r="U6" s="100">
        <v>4211</v>
      </c>
      <c r="V6" s="95"/>
      <c r="W6" s="95"/>
      <c r="X6" s="95"/>
      <c r="Y6" s="96"/>
      <c r="Z6" s="95"/>
      <c r="AA6" s="95"/>
      <c r="AB6" s="95"/>
      <c r="AC6" s="95"/>
      <c r="AD6" s="88"/>
      <c r="AE6" s="89"/>
      <c r="AF6" s="88"/>
      <c r="AG6" s="97"/>
      <c r="AH6" s="88"/>
      <c r="AI6" s="88"/>
      <c r="AJ6" s="90"/>
      <c r="AN6" s="61"/>
      <c r="AO6" s="98"/>
      <c r="AP6" s="98"/>
      <c r="AQ6" s="98"/>
      <c r="AR6" s="87"/>
    </row>
    <row r="7" spans="1:44">
      <c r="A7" s="91"/>
      <c r="B7" s="92"/>
      <c r="C7" s="92"/>
      <c r="D7" s="91"/>
      <c r="E7" s="91"/>
      <c r="F7" s="91"/>
      <c r="G7" s="93"/>
      <c r="H7" s="91"/>
      <c r="I7" s="91"/>
      <c r="J7" s="91"/>
      <c r="K7" s="130" t="s">
        <v>232</v>
      </c>
      <c r="L7" s="130" t="s">
        <v>27</v>
      </c>
      <c r="M7" s="100"/>
      <c r="N7" s="100"/>
      <c r="O7" s="100"/>
      <c r="P7" s="100"/>
      <c r="Q7" s="100"/>
      <c r="R7" s="100"/>
      <c r="S7" s="100"/>
      <c r="T7" s="100"/>
      <c r="U7" s="100" t="s">
        <v>233</v>
      </c>
      <c r="V7" s="95"/>
      <c r="W7" s="95"/>
      <c r="X7" s="95"/>
      <c r="Y7" s="96"/>
      <c r="Z7" s="95"/>
      <c r="AA7" s="95"/>
      <c r="AB7" s="95"/>
      <c r="AC7" s="95"/>
      <c r="AD7" s="88"/>
      <c r="AE7" s="89"/>
      <c r="AF7" s="88"/>
      <c r="AG7" s="97"/>
      <c r="AH7" s="88"/>
      <c r="AI7" s="88"/>
      <c r="AJ7" s="90"/>
      <c r="AN7" s="61"/>
      <c r="AO7" s="98"/>
      <c r="AP7" s="98"/>
      <c r="AQ7" s="98"/>
      <c r="AR7" s="87"/>
    </row>
    <row r="8" spans="1:44">
      <c r="A8" s="91"/>
      <c r="B8" s="92"/>
      <c r="C8" s="92"/>
      <c r="D8" s="91"/>
      <c r="E8" s="91"/>
      <c r="F8" s="91"/>
      <c r="G8" s="93"/>
      <c r="H8" s="91"/>
      <c r="I8" s="91"/>
      <c r="J8" s="91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5"/>
      <c r="W8" s="95"/>
      <c r="X8" s="95"/>
      <c r="Y8" s="96"/>
      <c r="Z8" s="95"/>
      <c r="AA8" s="95"/>
      <c r="AB8" s="95"/>
      <c r="AC8" s="95"/>
      <c r="AD8" s="88"/>
      <c r="AE8" s="89"/>
      <c r="AF8" s="88"/>
      <c r="AG8" s="97"/>
      <c r="AH8" s="88"/>
      <c r="AI8" s="88"/>
      <c r="AJ8" s="90"/>
      <c r="AN8" s="61"/>
      <c r="AO8" s="98"/>
      <c r="AP8" s="98"/>
      <c r="AQ8" s="98"/>
      <c r="AR8" s="87"/>
    </row>
    <row r="9" spans="1:44">
      <c r="A9" s="91"/>
      <c r="B9" s="92"/>
      <c r="C9" s="92"/>
      <c r="D9" s="91"/>
      <c r="E9" s="91"/>
      <c r="F9" s="91"/>
      <c r="G9" s="93"/>
      <c r="H9" s="91"/>
      <c r="I9" s="91"/>
      <c r="J9" s="91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5"/>
      <c r="W9" s="95"/>
      <c r="X9" s="95"/>
      <c r="Y9" s="96"/>
      <c r="Z9" s="95"/>
      <c r="AA9" s="95"/>
      <c r="AB9" s="95"/>
      <c r="AC9" s="95"/>
      <c r="AD9" s="88"/>
      <c r="AE9" s="89"/>
      <c r="AF9" s="88"/>
      <c r="AG9" s="97"/>
      <c r="AH9" s="88"/>
      <c r="AI9" s="88"/>
      <c r="AJ9" s="90"/>
      <c r="AN9" s="61"/>
      <c r="AO9" s="98"/>
      <c r="AP9" s="98"/>
      <c r="AQ9" s="98"/>
      <c r="AR9" s="87"/>
    </row>
    <row r="10" spans="1:44">
      <c r="A10" s="91"/>
      <c r="B10" s="92"/>
      <c r="C10" s="92"/>
      <c r="D10" s="91"/>
      <c r="E10" s="91"/>
      <c r="F10" s="91"/>
      <c r="G10" s="93"/>
      <c r="H10" s="91"/>
      <c r="I10" s="134" t="s">
        <v>160</v>
      </c>
      <c r="J10" s="134" t="s">
        <v>1</v>
      </c>
      <c r="K10" s="135" t="s">
        <v>29</v>
      </c>
      <c r="L10" s="135" t="s">
        <v>30</v>
      </c>
      <c r="M10" s="94"/>
      <c r="N10" s="94"/>
      <c r="O10" s="94"/>
      <c r="P10" s="94"/>
      <c r="Q10" s="94"/>
      <c r="R10" s="94"/>
      <c r="S10" s="94"/>
      <c r="T10" s="94"/>
      <c r="U10" s="94"/>
      <c r="V10" s="95"/>
      <c r="W10" s="95"/>
      <c r="X10" s="95"/>
      <c r="Y10" s="96"/>
      <c r="Z10" s="95"/>
      <c r="AA10" s="95"/>
      <c r="AB10" s="95"/>
      <c r="AC10" s="95"/>
      <c r="AD10" s="88"/>
      <c r="AE10" s="89"/>
      <c r="AF10" s="88"/>
      <c r="AG10" s="97"/>
      <c r="AH10" s="88"/>
      <c r="AI10" s="88"/>
      <c r="AJ10" s="90"/>
      <c r="AN10" s="61"/>
      <c r="AO10" s="98"/>
      <c r="AP10" s="98"/>
      <c r="AQ10" s="98"/>
      <c r="AR10" s="87"/>
    </row>
    <row r="11" spans="1:44">
      <c r="A11" s="91"/>
      <c r="B11" s="92"/>
      <c r="C11" s="92"/>
      <c r="D11" s="91"/>
      <c r="E11" s="91"/>
      <c r="F11" s="91"/>
      <c r="G11" s="93"/>
      <c r="H11" s="91"/>
      <c r="I11" s="143">
        <v>6011</v>
      </c>
      <c r="J11" s="144" t="s">
        <v>232</v>
      </c>
      <c r="K11" s="145">
        <f>+K3</f>
        <v>125000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5"/>
      <c r="W11" s="95"/>
      <c r="X11" s="95"/>
      <c r="Y11" s="96"/>
      <c r="Z11" s="95"/>
      <c r="AA11" s="95"/>
      <c r="AB11" s="95"/>
      <c r="AC11" s="95"/>
      <c r="AD11" s="88"/>
      <c r="AE11" s="89"/>
      <c r="AF11" s="88"/>
      <c r="AG11" s="97"/>
      <c r="AH11" s="88"/>
      <c r="AI11" s="88"/>
      <c r="AJ11" s="90"/>
      <c r="AN11" s="61"/>
      <c r="AO11" s="98"/>
      <c r="AP11" s="98"/>
      <c r="AQ11" s="98"/>
      <c r="AR11" s="87"/>
    </row>
    <row r="12" spans="1:44">
      <c r="A12" s="91"/>
      <c r="B12" s="92"/>
      <c r="C12" s="92"/>
      <c r="D12" s="91"/>
      <c r="E12" s="91"/>
      <c r="F12" s="91"/>
      <c r="G12" s="93"/>
      <c r="H12" s="91"/>
      <c r="I12" s="146">
        <v>4011</v>
      </c>
      <c r="J12" s="147" t="s">
        <v>27</v>
      </c>
      <c r="K12" s="148">
        <f>+L3</f>
        <v>22500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5"/>
      <c r="W12" s="95"/>
      <c r="X12" s="95"/>
      <c r="Y12" s="96"/>
      <c r="Z12" s="95"/>
      <c r="AA12" s="95"/>
      <c r="AB12" s="95"/>
      <c r="AC12" s="95"/>
      <c r="AD12" s="88"/>
      <c r="AE12" s="89"/>
      <c r="AF12" s="88"/>
      <c r="AG12" s="97"/>
      <c r="AH12" s="88"/>
      <c r="AI12" s="88"/>
      <c r="AJ12" s="90"/>
      <c r="AN12" s="61"/>
      <c r="AO12" s="98"/>
      <c r="AP12" s="98"/>
      <c r="AQ12" s="98"/>
      <c r="AR12" s="87"/>
    </row>
    <row r="13" spans="1:44">
      <c r="A13" s="91"/>
      <c r="B13" s="92"/>
      <c r="C13" s="92"/>
      <c r="D13" s="91"/>
      <c r="E13" s="91"/>
      <c r="F13" s="91"/>
      <c r="G13" s="93"/>
      <c r="H13" s="91"/>
      <c r="I13" s="146">
        <v>4211</v>
      </c>
      <c r="J13" s="146" t="s">
        <v>233</v>
      </c>
      <c r="K13" s="149"/>
      <c r="L13" s="148">
        <f>+U3</f>
        <v>147500</v>
      </c>
      <c r="M13" s="91"/>
      <c r="N13" s="91"/>
      <c r="O13" s="91"/>
      <c r="P13" s="91"/>
      <c r="Q13" s="91"/>
      <c r="R13" s="91"/>
      <c r="S13" s="91"/>
      <c r="T13" s="91"/>
      <c r="U13" s="91"/>
      <c r="V13" s="95"/>
      <c r="W13" s="95"/>
      <c r="X13" s="95"/>
      <c r="Y13" s="96"/>
      <c r="Z13" s="95"/>
      <c r="AA13" s="95"/>
      <c r="AB13" s="95"/>
      <c r="AC13" s="95"/>
      <c r="AD13" s="88"/>
      <c r="AE13" s="89"/>
      <c r="AF13" s="88"/>
      <c r="AG13" s="97"/>
      <c r="AH13" s="88"/>
      <c r="AI13" s="88"/>
      <c r="AJ13" s="90"/>
      <c r="AN13" s="61"/>
      <c r="AO13" s="98"/>
      <c r="AP13" s="98"/>
      <c r="AQ13" s="98"/>
      <c r="AR13" s="87"/>
    </row>
    <row r="14" spans="1:44">
      <c r="A14" s="91"/>
      <c r="B14" s="92"/>
      <c r="C14" s="92"/>
      <c r="D14" s="91"/>
      <c r="E14" s="91"/>
      <c r="F14" s="91"/>
      <c r="G14" s="93"/>
      <c r="H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5"/>
      <c r="W14" s="95"/>
      <c r="X14" s="95"/>
      <c r="Y14" s="96"/>
      <c r="Z14" s="95"/>
      <c r="AA14" s="95"/>
      <c r="AB14" s="95"/>
      <c r="AC14" s="95"/>
      <c r="AD14" s="88"/>
      <c r="AE14" s="89"/>
      <c r="AF14" s="88"/>
      <c r="AG14" s="97"/>
      <c r="AH14" s="88"/>
      <c r="AI14" s="88"/>
      <c r="AJ14" s="90"/>
      <c r="AN14" s="61"/>
      <c r="AO14" s="98"/>
      <c r="AP14" s="98"/>
      <c r="AQ14" s="98"/>
      <c r="AR14" s="87"/>
    </row>
    <row r="15" spans="1:44">
      <c r="A15" s="91"/>
      <c r="B15" s="92"/>
      <c r="C15" s="92"/>
      <c r="D15" s="91"/>
      <c r="E15" s="91"/>
      <c r="F15" s="91"/>
      <c r="G15" s="93"/>
      <c r="H15" s="91"/>
      <c r="I15" s="150">
        <v>20111</v>
      </c>
      <c r="J15" s="151" t="s">
        <v>234</v>
      </c>
      <c r="K15" s="152">
        <f>+K11</f>
        <v>125000</v>
      </c>
      <c r="L15" s="151"/>
      <c r="M15" s="91"/>
      <c r="N15" s="91"/>
      <c r="O15" s="91"/>
      <c r="P15" s="91"/>
      <c r="Q15" s="91"/>
      <c r="R15" s="91"/>
      <c r="S15" s="91"/>
      <c r="T15" s="91"/>
      <c r="U15" s="91"/>
      <c r="V15" s="95"/>
      <c r="W15" s="95"/>
      <c r="X15" s="95"/>
      <c r="Y15" s="96"/>
      <c r="Z15" s="95"/>
      <c r="AA15" s="95"/>
      <c r="AB15" s="95"/>
      <c r="AC15" s="95"/>
      <c r="AD15" s="88"/>
      <c r="AE15" s="89"/>
      <c r="AF15" s="88"/>
      <c r="AG15" s="97"/>
      <c r="AH15" s="88"/>
      <c r="AI15" s="88"/>
      <c r="AJ15" s="90"/>
      <c r="AN15" s="61"/>
      <c r="AO15" s="98"/>
      <c r="AP15" s="98"/>
      <c r="AQ15" s="98"/>
      <c r="AR15" s="87"/>
    </row>
    <row r="16" spans="1:44">
      <c r="A16" s="91"/>
      <c r="B16" s="92"/>
      <c r="C16" s="92"/>
      <c r="D16" s="91"/>
      <c r="E16" s="91"/>
      <c r="F16" s="91"/>
      <c r="G16" s="93"/>
      <c r="H16" s="91"/>
      <c r="I16" s="150">
        <v>6111</v>
      </c>
      <c r="J16" s="151" t="s">
        <v>235</v>
      </c>
      <c r="K16" s="151"/>
      <c r="L16" s="152">
        <f>+K15</f>
        <v>125000</v>
      </c>
      <c r="M16" s="91"/>
      <c r="N16" s="91"/>
      <c r="O16" s="91"/>
      <c r="P16" s="91"/>
      <c r="Q16" s="91"/>
      <c r="R16" s="91"/>
      <c r="S16" s="91"/>
      <c r="T16" s="91"/>
      <c r="U16" s="91"/>
      <c r="V16" s="95"/>
      <c r="W16" s="95"/>
      <c r="X16" s="95"/>
      <c r="Y16" s="96"/>
      <c r="Z16" s="95"/>
      <c r="AA16" s="95"/>
      <c r="AB16" s="95"/>
      <c r="AC16" s="95"/>
      <c r="AD16" s="88"/>
      <c r="AE16" s="89"/>
      <c r="AF16" s="88"/>
      <c r="AG16" s="97"/>
      <c r="AH16" s="88"/>
      <c r="AI16" s="88"/>
      <c r="AJ16" s="90"/>
      <c r="AN16" s="61"/>
      <c r="AO16" s="98"/>
      <c r="AP16" s="98"/>
      <c r="AQ16" s="98"/>
      <c r="AR16" s="87"/>
    </row>
    <row r="17" spans="1:44">
      <c r="A17" s="91"/>
      <c r="B17" s="92"/>
      <c r="C17" s="92"/>
      <c r="D17" s="91"/>
      <c r="E17" s="91"/>
      <c r="F17" s="91"/>
      <c r="G17" s="93"/>
      <c r="H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5"/>
      <c r="W17" s="95"/>
      <c r="X17" s="95"/>
      <c r="Y17" s="96"/>
      <c r="Z17" s="95"/>
      <c r="AA17" s="95"/>
      <c r="AB17" s="95"/>
      <c r="AC17" s="95"/>
      <c r="AD17" s="88"/>
      <c r="AE17" s="89"/>
      <c r="AF17" s="88"/>
      <c r="AG17" s="97"/>
      <c r="AH17" s="88"/>
      <c r="AI17" s="88"/>
      <c r="AJ17" s="90"/>
      <c r="AN17" s="61"/>
      <c r="AO17" s="98"/>
      <c r="AP17" s="98"/>
      <c r="AQ17" s="98"/>
      <c r="AR17" s="87"/>
    </row>
    <row r="18" spans="1:44">
      <c r="A18" s="91"/>
      <c r="B18" s="92"/>
      <c r="C18" s="92"/>
      <c r="D18" s="91"/>
      <c r="E18" s="91"/>
      <c r="F18" s="91"/>
      <c r="G18" s="93"/>
      <c r="H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5"/>
      <c r="W18" s="95"/>
      <c r="X18" s="95"/>
      <c r="Y18" s="96"/>
      <c r="Z18" s="95"/>
      <c r="AA18" s="95"/>
      <c r="AB18" s="95"/>
      <c r="AC18" s="95"/>
      <c r="AD18" s="88"/>
      <c r="AE18" s="89"/>
      <c r="AF18" s="88"/>
      <c r="AG18" s="97"/>
      <c r="AH18" s="88"/>
      <c r="AI18" s="88"/>
      <c r="AJ18" s="90"/>
      <c r="AN18" s="61"/>
      <c r="AO18" s="98"/>
      <c r="AP18" s="98"/>
      <c r="AQ18" s="98"/>
      <c r="AR18" s="87"/>
    </row>
    <row r="19" spans="1:44">
      <c r="A19" s="91"/>
      <c r="B19" s="92"/>
      <c r="C19" s="92"/>
      <c r="D19" s="91"/>
      <c r="E19" s="91"/>
      <c r="F19" s="91"/>
      <c r="G19" s="93"/>
      <c r="H19" s="91"/>
      <c r="I19" s="143">
        <v>6011</v>
      </c>
      <c r="J19" s="144" t="s">
        <v>232</v>
      </c>
      <c r="K19" s="145">
        <f>+K4</f>
        <v>189000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5"/>
      <c r="W19" s="95"/>
      <c r="X19" s="95"/>
      <c r="Y19" s="96"/>
      <c r="Z19" s="95"/>
      <c r="AA19" s="95"/>
      <c r="AB19" s="95"/>
      <c r="AC19" s="95"/>
      <c r="AD19" s="88"/>
      <c r="AE19" s="89"/>
      <c r="AF19" s="88"/>
      <c r="AG19" s="97"/>
      <c r="AH19" s="88"/>
      <c r="AI19" s="88"/>
      <c r="AJ19" s="90"/>
      <c r="AN19" s="61"/>
      <c r="AO19" s="98"/>
      <c r="AP19" s="98"/>
      <c r="AQ19" s="98"/>
      <c r="AR19" s="87"/>
    </row>
    <row r="20" spans="1:44">
      <c r="A20" s="91"/>
      <c r="B20" s="92"/>
      <c r="C20" s="92"/>
      <c r="D20" s="91"/>
      <c r="E20" s="91"/>
      <c r="F20" s="91"/>
      <c r="G20" s="93"/>
      <c r="H20" s="91"/>
      <c r="I20" s="146">
        <v>4011</v>
      </c>
      <c r="J20" s="147" t="s">
        <v>27</v>
      </c>
      <c r="K20" s="148">
        <f>+L4</f>
        <v>34020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5"/>
      <c r="W20" s="95"/>
      <c r="X20" s="95"/>
      <c r="Y20" s="96"/>
      <c r="Z20" s="95"/>
      <c r="AA20" s="95"/>
      <c r="AB20" s="95"/>
      <c r="AC20" s="95"/>
      <c r="AD20" s="88"/>
      <c r="AE20" s="89"/>
      <c r="AF20" s="88"/>
      <c r="AG20" s="97"/>
      <c r="AH20" s="88"/>
      <c r="AI20" s="88"/>
      <c r="AJ20" s="90"/>
      <c r="AN20" s="61"/>
      <c r="AO20" s="98"/>
      <c r="AP20" s="98"/>
      <c r="AQ20" s="98"/>
      <c r="AR20" s="87"/>
    </row>
    <row r="21" spans="1:44">
      <c r="A21" s="91"/>
      <c r="B21" s="92"/>
      <c r="C21" s="92"/>
      <c r="D21" s="91"/>
      <c r="E21" s="91"/>
      <c r="F21" s="91"/>
      <c r="G21" s="93"/>
      <c r="H21" s="91"/>
      <c r="I21" s="146">
        <v>4211</v>
      </c>
      <c r="J21" s="146" t="s">
        <v>233</v>
      </c>
      <c r="K21" s="149"/>
      <c r="L21" s="148">
        <f>+U4</f>
        <v>223020</v>
      </c>
      <c r="M21" s="149"/>
      <c r="N21" s="149"/>
      <c r="O21" s="149"/>
      <c r="P21" s="149"/>
      <c r="Q21" s="149"/>
      <c r="R21" s="149"/>
      <c r="S21" s="149"/>
      <c r="T21" s="149"/>
      <c r="U21" s="149"/>
      <c r="V21" s="95"/>
      <c r="W21" s="95"/>
      <c r="X21" s="95"/>
      <c r="Y21" s="96"/>
      <c r="Z21" s="95"/>
      <c r="AA21" s="95"/>
      <c r="AB21" s="95"/>
      <c r="AC21" s="95"/>
      <c r="AD21" s="88"/>
      <c r="AE21" s="89"/>
      <c r="AF21" s="88"/>
      <c r="AG21" s="97"/>
      <c r="AH21" s="88"/>
      <c r="AI21" s="88"/>
      <c r="AJ21" s="90"/>
      <c r="AN21" s="61"/>
      <c r="AO21" s="98"/>
      <c r="AP21" s="98"/>
      <c r="AQ21" s="98"/>
      <c r="AR21" s="87"/>
    </row>
    <row r="22" spans="1:44">
      <c r="A22" s="91"/>
      <c r="B22" s="92"/>
      <c r="C22" s="92"/>
      <c r="D22" s="91"/>
      <c r="E22" s="91"/>
      <c r="F22" s="91"/>
      <c r="G22" s="93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5"/>
      <c r="W22" s="95"/>
      <c r="X22" s="95"/>
      <c r="Y22" s="96"/>
      <c r="Z22" s="95"/>
      <c r="AA22" s="95"/>
      <c r="AB22" s="95"/>
      <c r="AC22" s="95"/>
      <c r="AD22" s="88"/>
      <c r="AE22" s="89"/>
      <c r="AF22" s="88"/>
      <c r="AG22" s="97"/>
      <c r="AH22" s="88"/>
      <c r="AI22" s="88"/>
      <c r="AJ22" s="90"/>
      <c r="AN22" s="61"/>
      <c r="AO22" s="98"/>
      <c r="AP22" s="98"/>
      <c r="AQ22" s="98"/>
      <c r="AR22" s="87"/>
    </row>
    <row r="23" spans="1:44">
      <c r="A23" s="91"/>
      <c r="B23" s="92"/>
      <c r="C23" s="92"/>
      <c r="D23" s="91"/>
      <c r="E23" s="91"/>
      <c r="F23" s="91"/>
      <c r="G23" s="93"/>
      <c r="H23" s="91"/>
      <c r="I23" s="150">
        <v>20111</v>
      </c>
      <c r="J23" s="151" t="s">
        <v>234</v>
      </c>
      <c r="K23" s="152">
        <f>+K19</f>
        <v>189000</v>
      </c>
      <c r="L23" s="151"/>
      <c r="M23" s="91"/>
      <c r="N23" s="91"/>
      <c r="O23" s="91"/>
      <c r="P23" s="91"/>
      <c r="Q23" s="91"/>
      <c r="R23" s="91"/>
      <c r="S23" s="91"/>
      <c r="T23" s="91"/>
      <c r="U23" s="91"/>
      <c r="V23" s="95"/>
      <c r="W23" s="95"/>
      <c r="X23" s="95"/>
      <c r="Y23" s="96"/>
      <c r="Z23" s="95"/>
      <c r="AA23" s="95"/>
      <c r="AB23" s="95"/>
      <c r="AC23" s="95"/>
      <c r="AD23" s="88"/>
      <c r="AE23" s="89"/>
      <c r="AF23" s="88"/>
      <c r="AG23" s="97"/>
      <c r="AH23" s="88"/>
      <c r="AI23" s="88"/>
      <c r="AJ23" s="90"/>
      <c r="AN23" s="61"/>
      <c r="AO23" s="98"/>
      <c r="AP23" s="98"/>
      <c r="AQ23" s="98"/>
      <c r="AR23" s="87"/>
    </row>
    <row r="24" spans="1:44">
      <c r="A24" s="91"/>
      <c r="B24" s="92"/>
      <c r="C24" s="92"/>
      <c r="D24" s="91"/>
      <c r="E24" s="91"/>
      <c r="F24" s="91"/>
      <c r="G24" s="93"/>
      <c r="H24" s="91"/>
      <c r="I24" s="150">
        <v>6111</v>
      </c>
      <c r="J24" s="151" t="s">
        <v>235</v>
      </c>
      <c r="K24" s="151"/>
      <c r="L24" s="152">
        <f>+K23</f>
        <v>189000</v>
      </c>
      <c r="M24" s="91"/>
      <c r="N24" s="91"/>
      <c r="O24" s="91"/>
      <c r="P24" s="91"/>
      <c r="Q24" s="91"/>
      <c r="R24" s="91"/>
      <c r="S24" s="91"/>
      <c r="T24" s="91"/>
      <c r="U24" s="91"/>
      <c r="V24" s="95"/>
      <c r="W24" s="95"/>
      <c r="X24" s="95"/>
      <c r="Y24" s="96"/>
      <c r="Z24" s="95"/>
      <c r="AA24" s="95"/>
      <c r="AB24" s="95"/>
      <c r="AC24" s="95"/>
      <c r="AD24" s="88"/>
      <c r="AE24" s="89"/>
      <c r="AF24" s="88"/>
      <c r="AG24" s="97"/>
      <c r="AH24" s="88"/>
      <c r="AI24" s="88"/>
      <c r="AJ24" s="90"/>
      <c r="AN24" s="61"/>
      <c r="AO24" s="98"/>
      <c r="AP24" s="98"/>
      <c r="AQ24" s="98"/>
      <c r="AR24" s="87"/>
    </row>
    <row r="25" spans="1:44">
      <c r="A25" s="91"/>
      <c r="B25" s="92"/>
      <c r="C25" s="92"/>
      <c r="D25" s="91"/>
      <c r="E25" s="91"/>
      <c r="F25" s="91"/>
      <c r="G25" s="93"/>
      <c r="H25" s="91"/>
      <c r="I25" s="91"/>
      <c r="J25" s="91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5"/>
      <c r="W25" s="95"/>
      <c r="X25" s="95"/>
      <c r="Y25" s="96"/>
      <c r="Z25" s="95"/>
      <c r="AA25" s="95"/>
      <c r="AB25" s="95"/>
      <c r="AC25" s="95"/>
      <c r="AD25" s="88"/>
      <c r="AE25" s="89"/>
      <c r="AF25" s="88"/>
      <c r="AG25" s="97"/>
      <c r="AH25" s="88"/>
      <c r="AI25" s="88"/>
      <c r="AJ25" s="90"/>
      <c r="AN25" s="61"/>
      <c r="AO25" s="98"/>
      <c r="AP25" s="98"/>
      <c r="AQ25" s="98"/>
      <c r="AR25" s="87"/>
    </row>
    <row r="27" spans="1:44">
      <c r="A27" s="49" t="s">
        <v>144</v>
      </c>
      <c r="B27" s="50">
        <v>44893</v>
      </c>
      <c r="C27" s="46">
        <v>44620</v>
      </c>
      <c r="D27" s="49" t="s">
        <v>16</v>
      </c>
      <c r="E27" s="49" t="s">
        <v>133</v>
      </c>
      <c r="F27" s="49" t="s">
        <v>130</v>
      </c>
      <c r="G27" s="51" t="s">
        <v>149</v>
      </c>
      <c r="H27" s="49" t="s">
        <v>60</v>
      </c>
      <c r="I27" s="49">
        <v>10245678910</v>
      </c>
      <c r="J27" s="49" t="s">
        <v>237</v>
      </c>
      <c r="K27" s="52">
        <v>2500</v>
      </c>
      <c r="L27" s="52">
        <f t="shared" si="1"/>
        <v>450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f>+K27+L27</f>
        <v>2950</v>
      </c>
      <c r="V27" s="47"/>
      <c r="W27" s="29">
        <v>177111321</v>
      </c>
      <c r="X27" s="30">
        <v>44893</v>
      </c>
      <c r="Y27" s="48">
        <v>1</v>
      </c>
      <c r="Z27" s="47"/>
      <c r="AA27" s="47"/>
      <c r="AB27" s="47"/>
      <c r="AC27" s="47"/>
      <c r="AD27" s="39"/>
      <c r="AE27" s="60"/>
      <c r="AF27" s="39"/>
      <c r="AG27" s="38">
        <v>44893</v>
      </c>
      <c r="AH27" s="39" t="s">
        <v>151</v>
      </c>
      <c r="AI27" s="39" t="s">
        <v>11</v>
      </c>
      <c r="AJ27" s="40">
        <f>+U27*88%</f>
        <v>2596</v>
      </c>
      <c r="AN27" s="59" t="s">
        <v>231</v>
      </c>
      <c r="AO27" s="39"/>
      <c r="AP27" s="39"/>
      <c r="AQ27" s="39"/>
    </row>
    <row r="28" spans="1:44" ht="12.5" thickBot="1">
      <c r="K28" s="99">
        <f>+K27</f>
        <v>2500</v>
      </c>
      <c r="L28" s="99">
        <f t="shared" ref="L28:U28" si="2">+L27</f>
        <v>450</v>
      </c>
      <c r="M28" s="99">
        <f t="shared" si="2"/>
        <v>0</v>
      </c>
      <c r="N28" s="99">
        <f t="shared" si="2"/>
        <v>0</v>
      </c>
      <c r="O28" s="99">
        <f t="shared" si="2"/>
        <v>0</v>
      </c>
      <c r="P28" s="99">
        <f t="shared" si="2"/>
        <v>0</v>
      </c>
      <c r="Q28" s="99">
        <f t="shared" si="2"/>
        <v>0</v>
      </c>
      <c r="R28" s="99">
        <f t="shared" si="2"/>
        <v>0</v>
      </c>
      <c r="S28" s="99">
        <f t="shared" si="2"/>
        <v>0</v>
      </c>
      <c r="T28" s="99">
        <f t="shared" si="2"/>
        <v>0</v>
      </c>
      <c r="U28" s="99">
        <f t="shared" si="2"/>
        <v>2950</v>
      </c>
    </row>
    <row r="29" spans="1:44" ht="12.5" thickTop="1"/>
    <row r="30" spans="1:44">
      <c r="I30" s="134" t="s">
        <v>160</v>
      </c>
      <c r="J30" s="134" t="s">
        <v>1</v>
      </c>
      <c r="K30" s="135" t="s">
        <v>29</v>
      </c>
      <c r="L30" s="135" t="s">
        <v>30</v>
      </c>
    </row>
    <row r="31" spans="1:44">
      <c r="I31" s="179">
        <v>6323</v>
      </c>
      <c r="J31" s="179" t="s">
        <v>238</v>
      </c>
      <c r="K31" s="180">
        <f>+K28</f>
        <v>2500</v>
      </c>
      <c r="L31" s="181"/>
    </row>
    <row r="32" spans="1:44">
      <c r="I32" s="182">
        <v>4011</v>
      </c>
      <c r="J32" s="182" t="s">
        <v>27</v>
      </c>
      <c r="K32" s="180">
        <f>+L28</f>
        <v>450</v>
      </c>
      <c r="L32" s="181"/>
    </row>
    <row r="33" spans="1:43">
      <c r="I33" s="179">
        <v>4699</v>
      </c>
      <c r="J33" s="179" t="s">
        <v>239</v>
      </c>
      <c r="K33" s="150"/>
      <c r="L33" s="180">
        <f>+U28</f>
        <v>2950</v>
      </c>
    </row>
    <row r="36" spans="1:43">
      <c r="I36" s="123">
        <v>92</v>
      </c>
      <c r="J36" s="123" t="s">
        <v>48</v>
      </c>
      <c r="K36" s="183">
        <f>+K31</f>
        <v>2500</v>
      </c>
      <c r="L36" s="123"/>
    </row>
    <row r="37" spans="1:43">
      <c r="I37" s="123">
        <v>79</v>
      </c>
      <c r="J37" s="123" t="s">
        <v>229</v>
      </c>
      <c r="K37" s="123"/>
      <c r="L37" s="183">
        <f>+SUM(K36:K36)</f>
        <v>2500</v>
      </c>
    </row>
    <row r="38" spans="1:43" ht="12.5" thickBot="1">
      <c r="I38" s="26"/>
      <c r="J38" s="26"/>
      <c r="K38" s="8">
        <f>+SUM(K36:K37)</f>
        <v>2500</v>
      </c>
      <c r="L38" s="8">
        <f>+SUM(L36:L37)</f>
        <v>2500</v>
      </c>
    </row>
    <row r="39" spans="1:43" ht="12.5" thickTop="1"/>
    <row r="43" spans="1:43">
      <c r="A43" s="49" t="s">
        <v>145</v>
      </c>
      <c r="B43" s="50">
        <v>44866</v>
      </c>
      <c r="C43" s="46">
        <v>44620</v>
      </c>
      <c r="D43" s="49" t="s">
        <v>16</v>
      </c>
      <c r="E43" s="49" t="s">
        <v>131</v>
      </c>
      <c r="F43" s="49" t="s">
        <v>130</v>
      </c>
      <c r="G43" s="51" t="s">
        <v>183</v>
      </c>
      <c r="H43" s="49" t="s">
        <v>60</v>
      </c>
      <c r="I43" s="49">
        <v>20206060641</v>
      </c>
      <c r="J43" s="49" t="s">
        <v>184</v>
      </c>
      <c r="K43" s="52">
        <f>500*11</f>
        <v>5500</v>
      </c>
      <c r="L43" s="52">
        <f>+K43*18%</f>
        <v>990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f>+K43+L43</f>
        <v>6490</v>
      </c>
      <c r="V43" s="47"/>
      <c r="W43" s="47"/>
      <c r="X43" s="47"/>
      <c r="Y43" s="48">
        <v>1</v>
      </c>
      <c r="Z43" s="47"/>
      <c r="AA43" s="47"/>
      <c r="AB43" s="47"/>
      <c r="AC43" s="47"/>
      <c r="AG43" s="38">
        <v>44893</v>
      </c>
      <c r="AH43" s="39" t="s">
        <v>151</v>
      </c>
      <c r="AI43" s="39" t="s">
        <v>11</v>
      </c>
      <c r="AJ43" s="40">
        <f>+U43</f>
        <v>6490</v>
      </c>
      <c r="AN43" s="59" t="s">
        <v>255</v>
      </c>
      <c r="AO43" s="39"/>
      <c r="AP43" s="39"/>
      <c r="AQ43" s="39"/>
    </row>
    <row r="44" spans="1:43" ht="12.5" thickBot="1">
      <c r="K44" s="99">
        <f>+K43</f>
        <v>5500</v>
      </c>
      <c r="L44" s="99">
        <f t="shared" ref="L44" si="3">+L43</f>
        <v>990</v>
      </c>
      <c r="M44" s="99">
        <f t="shared" ref="M44" si="4">+M43</f>
        <v>0</v>
      </c>
      <c r="N44" s="99">
        <f t="shared" ref="N44" si="5">+N43</f>
        <v>0</v>
      </c>
      <c r="O44" s="99">
        <f t="shared" ref="O44" si="6">+O43</f>
        <v>0</v>
      </c>
      <c r="P44" s="99">
        <f t="shared" ref="P44" si="7">+P43</f>
        <v>0</v>
      </c>
      <c r="Q44" s="99">
        <f t="shared" ref="Q44" si="8">+Q43</f>
        <v>0</v>
      </c>
      <c r="R44" s="99">
        <f t="shared" ref="R44" si="9">+R43</f>
        <v>0</v>
      </c>
      <c r="S44" s="99">
        <f t="shared" ref="S44" si="10">+S43</f>
        <v>0</v>
      </c>
      <c r="T44" s="99">
        <f t="shared" ref="T44" si="11">+T43</f>
        <v>0</v>
      </c>
      <c r="U44" s="99">
        <f t="shared" ref="U44" si="12">+U43</f>
        <v>6490</v>
      </c>
    </row>
    <row r="45" spans="1:43" ht="12.5" thickTop="1"/>
    <row r="46" spans="1:43" ht="12.5" thickBot="1"/>
    <row r="47" spans="1:43" ht="12.5" thickBot="1">
      <c r="I47" s="185">
        <v>182</v>
      </c>
      <c r="J47" s="185" t="s">
        <v>256</v>
      </c>
      <c r="K47" s="186">
        <f>+K43</f>
        <v>5500</v>
      </c>
      <c r="L47" s="181"/>
      <c r="U47" s="31">
        <v>12</v>
      </c>
      <c r="W47" s="184">
        <f>+K47/U47</f>
        <v>458.33333333333331</v>
      </c>
      <c r="X47" s="206">
        <f>+K47-W47</f>
        <v>5041.666666666667</v>
      </c>
    </row>
    <row r="48" spans="1:43">
      <c r="I48" s="182">
        <v>4011</v>
      </c>
      <c r="J48" s="182" t="s">
        <v>27</v>
      </c>
      <c r="K48" s="180">
        <f>+L44</f>
        <v>990</v>
      </c>
      <c r="L48" s="181"/>
    </row>
    <row r="49" spans="9:21">
      <c r="I49" s="179">
        <v>4699</v>
      </c>
      <c r="J49" s="179" t="s">
        <v>239</v>
      </c>
      <c r="K49" s="150"/>
      <c r="L49" s="180">
        <f>+U44</f>
        <v>6490</v>
      </c>
    </row>
    <row r="52" spans="9:21">
      <c r="I52" s="179">
        <v>4699</v>
      </c>
      <c r="J52" s="179" t="s">
        <v>239</v>
      </c>
      <c r="K52" s="180">
        <f>+L49</f>
        <v>6490</v>
      </c>
      <c r="L52" s="182"/>
    </row>
    <row r="53" spans="9:21">
      <c r="I53" s="179">
        <v>1041</v>
      </c>
      <c r="J53" s="179" t="s">
        <v>248</v>
      </c>
      <c r="K53" s="180"/>
      <c r="L53" s="180">
        <f>+K52</f>
        <v>6490</v>
      </c>
    </row>
    <row r="56" spans="9:21" ht="12.5" thickBot="1">
      <c r="I56" s="187" t="s">
        <v>258</v>
      </c>
    </row>
    <row r="57" spans="9:21">
      <c r="I57" s="190">
        <v>6274</v>
      </c>
      <c r="J57" s="191" t="s">
        <v>223</v>
      </c>
      <c r="K57" s="192">
        <f>+'Op1'!N27</f>
        <v>458.33333333333331</v>
      </c>
      <c r="L57" s="193"/>
      <c r="U57" s="197" t="s">
        <v>257</v>
      </c>
    </row>
    <row r="58" spans="9:21" ht="12.5" thickBot="1">
      <c r="I58" s="194">
        <v>4039</v>
      </c>
      <c r="J58" s="195" t="s">
        <v>221</v>
      </c>
      <c r="K58" s="195"/>
      <c r="L58" s="196">
        <f>+K57</f>
        <v>458.33333333333331</v>
      </c>
      <c r="M58" s="198"/>
      <c r="N58" s="198"/>
      <c r="O58" s="198"/>
      <c r="P58" s="198"/>
      <c r="Q58" s="198"/>
      <c r="R58" s="198"/>
      <c r="S58" s="198"/>
      <c r="T58" s="198"/>
      <c r="U58" s="199" t="s">
        <v>70</v>
      </c>
    </row>
    <row r="60" spans="9:21" ht="12.5" thickBot="1"/>
    <row r="61" spans="9:21">
      <c r="I61" s="188">
        <v>4039</v>
      </c>
      <c r="J61" s="189" t="s">
        <v>221</v>
      </c>
      <c r="K61" s="200">
        <f>+L58</f>
        <v>458.33333333333331</v>
      </c>
      <c r="L61" s="201"/>
    </row>
    <row r="62" spans="9:21" ht="12.5" thickBot="1">
      <c r="I62" s="202">
        <v>182</v>
      </c>
      <c r="J62" s="203" t="s">
        <v>256</v>
      </c>
      <c r="K62" s="204"/>
      <c r="L62" s="205">
        <f>+K47/12</f>
        <v>458.33333333333331</v>
      </c>
    </row>
    <row r="66" spans="1:40">
      <c r="A66" s="49" t="s">
        <v>144</v>
      </c>
      <c r="B66" s="50">
        <f>+'Op5'!F4</f>
        <v>44866</v>
      </c>
      <c r="C66" s="50">
        <v>44926</v>
      </c>
      <c r="D66" s="49" t="s">
        <v>16</v>
      </c>
      <c r="E66" s="49" t="s">
        <v>133</v>
      </c>
      <c r="F66" s="49"/>
      <c r="G66" s="51" t="s">
        <v>269</v>
      </c>
      <c r="H66" s="49" t="s">
        <v>60</v>
      </c>
      <c r="I66" s="49">
        <v>20604567891</v>
      </c>
      <c r="J66" s="49" t="s">
        <v>271</v>
      </c>
      <c r="K66" s="40">
        <f>+'Op5'!E4</f>
        <v>101400</v>
      </c>
      <c r="L66" s="40">
        <f>+K66*18%</f>
        <v>18252</v>
      </c>
      <c r="M66" s="40"/>
      <c r="N66" s="40"/>
      <c r="O66" s="40"/>
      <c r="P66" s="40"/>
      <c r="Q66" s="40"/>
      <c r="R66" s="40"/>
      <c r="S66" s="40"/>
      <c r="T66" s="39"/>
      <c r="U66" s="40">
        <f>+K66+L66</f>
        <v>119652</v>
      </c>
      <c r="V66" s="39"/>
      <c r="W66" s="39"/>
      <c r="X66" s="39"/>
      <c r="Y66" s="39"/>
      <c r="AG66" s="41" t="s">
        <v>230</v>
      </c>
      <c r="AN66" s="3" t="s">
        <v>272</v>
      </c>
    </row>
    <row r="67" spans="1:40">
      <c r="A67" s="49" t="s">
        <v>145</v>
      </c>
      <c r="B67" s="50">
        <f>+'Op5'!F5</f>
        <v>44866</v>
      </c>
      <c r="C67" s="50">
        <v>44926</v>
      </c>
      <c r="D67" s="49" t="s">
        <v>16</v>
      </c>
      <c r="E67" s="49" t="s">
        <v>133</v>
      </c>
      <c r="F67" s="49"/>
      <c r="G67" s="51" t="s">
        <v>270</v>
      </c>
      <c r="H67" s="49" t="s">
        <v>60</v>
      </c>
      <c r="I67" s="49">
        <v>20604567891</v>
      </c>
      <c r="J67" s="49" t="s">
        <v>271</v>
      </c>
      <c r="K67" s="40">
        <f>+'Op5'!E5</f>
        <v>140400</v>
      </c>
      <c r="L67" s="40">
        <f>+K67*18%</f>
        <v>25272</v>
      </c>
      <c r="M67" s="40"/>
      <c r="N67" s="40"/>
      <c r="O67" s="40"/>
      <c r="P67" s="40"/>
      <c r="Q67" s="40"/>
      <c r="R67" s="40"/>
      <c r="S67" s="40"/>
      <c r="T67" s="39"/>
      <c r="U67" s="40">
        <f>+K67+L67</f>
        <v>165672</v>
      </c>
      <c r="V67" s="39"/>
      <c r="W67" s="39"/>
      <c r="X67" s="39"/>
      <c r="Y67" s="39"/>
      <c r="AG67" s="41" t="s">
        <v>230</v>
      </c>
      <c r="AN67" s="3" t="s">
        <v>273</v>
      </c>
    </row>
  </sheetData>
  <mergeCells count="9">
    <mergeCell ref="Z1:AC1"/>
    <mergeCell ref="AG1:AJ1"/>
    <mergeCell ref="AN1:AQ1"/>
    <mergeCell ref="D1:G1"/>
    <mergeCell ref="H1:I1"/>
    <mergeCell ref="K1:L1"/>
    <mergeCell ref="M1:N1"/>
    <mergeCell ref="O1:P1"/>
    <mergeCell ref="W1:X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2F8DB-2422-4630-9B45-834AB8776A88}">
  <sheetPr>
    <tabColor theme="7" tint="-0.499984740745262"/>
  </sheetPr>
  <dimension ref="A1:AO23"/>
  <sheetViews>
    <sheetView showGridLines="0" zoomScale="110" zoomScaleNormal="110" workbookViewId="0">
      <selection activeCell="AD3" sqref="AD3:AG3"/>
    </sheetView>
  </sheetViews>
  <sheetFormatPr baseColWidth="10" defaultRowHeight="12" outlineLevelCol="1"/>
  <cols>
    <col min="1" max="3" width="9.08984375" style="3" bestFit="1" customWidth="1"/>
    <col min="4" max="4" width="4.1796875" style="3" bestFit="1" customWidth="1"/>
    <col min="5" max="5" width="4.7265625" style="3" bestFit="1" customWidth="1"/>
    <col min="6" max="6" width="7.08984375" style="3" bestFit="1" customWidth="1"/>
    <col min="7" max="7" width="4.7265625" style="3" customWidth="1"/>
    <col min="8" max="8" width="9.90625" style="3" bestFit="1" customWidth="1"/>
    <col min="9" max="9" width="8.90625" style="3" customWidth="1"/>
    <col min="10" max="10" width="9.90625" style="3" hidden="1" customWidth="1" outlineLevel="1"/>
    <col min="11" max="11" width="8.90625" style="3" customWidth="1" collapsed="1"/>
    <col min="12" max="12" width="9.08984375" style="3" hidden="1" customWidth="1" outlineLevel="1"/>
    <col min="13" max="13" width="7.1796875" style="3" hidden="1" customWidth="1" outlineLevel="1"/>
    <col min="14" max="14" width="8" style="3" hidden="1" customWidth="1" outlineLevel="1"/>
    <col min="15" max="15" width="3.90625" style="3" hidden="1" customWidth="1" outlineLevel="1"/>
    <col min="16" max="16" width="4.26953125" style="3" hidden="1" customWidth="1" outlineLevel="1"/>
    <col min="17" max="17" width="8.1796875" style="3" customWidth="1" collapsed="1"/>
    <col min="18" max="18" width="18.08984375" style="3" hidden="1" customWidth="1" outlineLevel="1"/>
    <col min="19" max="19" width="7.1796875" style="3" hidden="1" customWidth="1" outlineLevel="1"/>
    <col min="20" max="20" width="8.90625" style="3" customWidth="1" collapsed="1"/>
    <col min="21" max="21" width="8.1796875" style="3" hidden="1" customWidth="1" outlineLevel="1"/>
    <col min="22" max="22" width="4.81640625" style="3" bestFit="1" customWidth="1" collapsed="1"/>
    <col min="23" max="23" width="5.453125" style="3" hidden="1" customWidth="1" outlineLevel="1"/>
    <col min="24" max="24" width="4.1796875" style="3" hidden="1" customWidth="1" outlineLevel="1"/>
    <col min="25" max="25" width="4.7265625" style="3" hidden="1" customWidth="1" outlineLevel="1"/>
    <col min="26" max="26" width="6.6328125" style="3" hidden="1" customWidth="1" outlineLevel="1"/>
    <col min="27" max="27" width="1.1796875" style="3" customWidth="1" collapsed="1"/>
    <col min="28" max="28" width="1.1796875" style="10" customWidth="1"/>
    <col min="29" max="29" width="1.1796875" style="3" customWidth="1"/>
    <col min="30" max="30" width="12.54296875" style="3" bestFit="1" customWidth="1"/>
    <col min="31" max="31" width="12.26953125" style="3" bestFit="1" customWidth="1"/>
    <col min="32" max="32" width="6.6328125" style="3" bestFit="1" customWidth="1"/>
    <col min="33" max="33" width="8.54296875" style="3" bestFit="1" customWidth="1"/>
    <col min="34" max="34" width="1.1796875" style="3" customWidth="1"/>
    <col min="35" max="35" width="1.1796875" style="10" customWidth="1"/>
    <col min="36" max="36" width="1.1796875" style="3" customWidth="1"/>
    <col min="37" max="37" width="23" style="3" bestFit="1" customWidth="1"/>
    <col min="38" max="38" width="6.36328125" style="3" bestFit="1" customWidth="1"/>
    <col min="39" max="39" width="10.08984375" style="3" bestFit="1" customWidth="1"/>
    <col min="40" max="40" width="8.54296875" style="3" bestFit="1" customWidth="1"/>
    <col min="41" max="16384" width="10.90625" style="3"/>
  </cols>
  <sheetData>
    <row r="1" spans="1:41" ht="12.5" thickBot="1">
      <c r="A1" s="27" t="s">
        <v>7</v>
      </c>
      <c r="B1" s="27" t="s">
        <v>0</v>
      </c>
      <c r="C1" s="27" t="s">
        <v>0</v>
      </c>
      <c r="D1" s="172" t="s">
        <v>85</v>
      </c>
      <c r="E1" s="173"/>
      <c r="F1" s="174"/>
      <c r="G1" s="172" t="s">
        <v>86</v>
      </c>
      <c r="H1" s="174"/>
      <c r="I1" s="27"/>
      <c r="J1" s="27" t="s">
        <v>110</v>
      </c>
      <c r="K1" s="27" t="s">
        <v>101</v>
      </c>
      <c r="L1" s="27"/>
      <c r="M1" s="27"/>
      <c r="N1" s="172" t="s">
        <v>111</v>
      </c>
      <c r="O1" s="174"/>
      <c r="P1" s="27"/>
      <c r="Q1" s="27"/>
      <c r="R1" s="34" t="s">
        <v>112</v>
      </c>
      <c r="S1" s="27" t="s">
        <v>113</v>
      </c>
      <c r="T1" s="27" t="s">
        <v>15</v>
      </c>
      <c r="U1" s="27" t="s">
        <v>114</v>
      </c>
      <c r="V1" s="35"/>
      <c r="W1" s="172" t="s">
        <v>95</v>
      </c>
      <c r="X1" s="173"/>
      <c r="Y1" s="173"/>
      <c r="Z1" s="174"/>
      <c r="AD1" s="169" t="s">
        <v>12</v>
      </c>
      <c r="AE1" s="170"/>
      <c r="AF1" s="170"/>
      <c r="AG1" s="171"/>
      <c r="AH1" s="31"/>
      <c r="AI1" s="37"/>
      <c r="AJ1" s="31"/>
      <c r="AK1" s="169" t="s">
        <v>9</v>
      </c>
      <c r="AL1" s="170"/>
      <c r="AM1" s="170"/>
      <c r="AN1" s="171"/>
    </row>
    <row r="2" spans="1:41">
      <c r="A2" s="42" t="s">
        <v>96</v>
      </c>
      <c r="B2" s="42" t="s">
        <v>115</v>
      </c>
      <c r="C2" s="42" t="s">
        <v>116</v>
      </c>
      <c r="D2" s="53" t="s">
        <v>5</v>
      </c>
      <c r="E2" s="53" t="s">
        <v>6</v>
      </c>
      <c r="F2" s="53" t="s">
        <v>7</v>
      </c>
      <c r="G2" s="53" t="s">
        <v>5</v>
      </c>
      <c r="H2" s="53" t="s">
        <v>7</v>
      </c>
      <c r="I2" s="42" t="s">
        <v>77</v>
      </c>
      <c r="J2" s="42" t="s">
        <v>117</v>
      </c>
      <c r="K2" s="42" t="s">
        <v>118</v>
      </c>
      <c r="L2" s="42" t="s">
        <v>119</v>
      </c>
      <c r="M2" s="42" t="s">
        <v>120</v>
      </c>
      <c r="N2" s="32" t="s">
        <v>101</v>
      </c>
      <c r="O2" s="32" t="s">
        <v>27</v>
      </c>
      <c r="P2" s="42" t="s">
        <v>121</v>
      </c>
      <c r="Q2" s="42" t="s">
        <v>122</v>
      </c>
      <c r="R2" s="42" t="s">
        <v>123</v>
      </c>
      <c r="S2" s="42" t="s">
        <v>124</v>
      </c>
      <c r="T2" s="42" t="s">
        <v>3</v>
      </c>
      <c r="U2" s="42" t="s">
        <v>125</v>
      </c>
      <c r="V2" s="54" t="s">
        <v>126</v>
      </c>
      <c r="W2" s="32" t="s">
        <v>0</v>
      </c>
      <c r="X2" s="32" t="s">
        <v>5</v>
      </c>
      <c r="Y2" s="32" t="s">
        <v>6</v>
      </c>
      <c r="Z2" s="32" t="s">
        <v>7</v>
      </c>
      <c r="AD2" s="25" t="s">
        <v>13</v>
      </c>
      <c r="AE2" s="25" t="s">
        <v>14</v>
      </c>
      <c r="AF2" s="25" t="s">
        <v>8</v>
      </c>
      <c r="AG2" s="25" t="s">
        <v>15</v>
      </c>
      <c r="AH2" s="31"/>
      <c r="AI2" s="37"/>
      <c r="AJ2" s="31"/>
      <c r="AK2" s="27" t="s">
        <v>1</v>
      </c>
      <c r="AL2" s="27" t="s">
        <v>2</v>
      </c>
      <c r="AM2" s="25" t="s">
        <v>19</v>
      </c>
      <c r="AN2" s="25" t="s">
        <v>3</v>
      </c>
    </row>
    <row r="3" spans="1:41">
      <c r="A3" s="55" t="s">
        <v>136</v>
      </c>
      <c r="B3" s="56">
        <v>44877</v>
      </c>
      <c r="C3" s="56">
        <v>44877</v>
      </c>
      <c r="D3" s="55" t="s">
        <v>16</v>
      </c>
      <c r="E3" s="55" t="s">
        <v>133</v>
      </c>
      <c r="F3" s="55" t="s">
        <v>137</v>
      </c>
      <c r="G3" s="55" t="s">
        <v>60</v>
      </c>
      <c r="H3" s="9">
        <v>20205075889</v>
      </c>
      <c r="I3" s="24" t="s">
        <v>17</v>
      </c>
      <c r="J3" s="57">
        <v>0</v>
      </c>
      <c r="K3" s="58">
        <f>+AN3</f>
        <v>16500</v>
      </c>
      <c r="L3" s="58">
        <v>0</v>
      </c>
      <c r="M3" s="58">
        <v>0</v>
      </c>
      <c r="N3" s="58">
        <v>0</v>
      </c>
      <c r="O3" s="58">
        <v>0</v>
      </c>
      <c r="P3" s="58">
        <v>0</v>
      </c>
      <c r="Q3" s="58">
        <f>+K3*18%</f>
        <v>2970</v>
      </c>
      <c r="R3" s="58">
        <v>0</v>
      </c>
      <c r="S3" s="58">
        <v>0</v>
      </c>
      <c r="T3" s="58">
        <f>+SUM(K3:S3)</f>
        <v>19470</v>
      </c>
      <c r="U3" s="19"/>
      <c r="V3" s="48">
        <v>1</v>
      </c>
      <c r="W3" s="9"/>
      <c r="X3" s="9"/>
      <c r="Y3" s="9"/>
      <c r="Z3" s="9"/>
      <c r="AD3" s="38" t="s">
        <v>157</v>
      </c>
      <c r="AE3" s="39" t="s">
        <v>154</v>
      </c>
      <c r="AF3" s="39" t="s">
        <v>11</v>
      </c>
      <c r="AG3" s="40">
        <f>+T3</f>
        <v>19470</v>
      </c>
      <c r="AH3" s="31"/>
      <c r="AI3" s="37"/>
      <c r="AJ3" s="31"/>
      <c r="AK3" s="9" t="s">
        <v>265</v>
      </c>
      <c r="AL3" s="45">
        <v>500</v>
      </c>
      <c r="AM3" s="45">
        <v>33</v>
      </c>
      <c r="AN3" s="19">
        <f t="shared" ref="AN3:AN6" si="0">+AL3*AM3</f>
        <v>16500</v>
      </c>
    </row>
    <row r="4" spans="1:41">
      <c r="A4" s="55" t="s">
        <v>138</v>
      </c>
      <c r="B4" s="56">
        <f>+B3</f>
        <v>44877</v>
      </c>
      <c r="C4" s="56">
        <f>+C3+1</f>
        <v>44878</v>
      </c>
      <c r="D4" s="55" t="s">
        <v>16</v>
      </c>
      <c r="E4" s="55" t="s">
        <v>133</v>
      </c>
      <c r="F4" s="55" t="s">
        <v>139</v>
      </c>
      <c r="G4" s="55" t="s">
        <v>60</v>
      </c>
      <c r="H4" s="9">
        <v>20205075889</v>
      </c>
      <c r="I4" s="24" t="s">
        <v>17</v>
      </c>
      <c r="J4" s="57">
        <v>0</v>
      </c>
      <c r="K4" s="58">
        <f t="shared" ref="K4:K6" si="1">+AN4</f>
        <v>7000</v>
      </c>
      <c r="L4" s="58">
        <v>0</v>
      </c>
      <c r="M4" s="58">
        <v>0</v>
      </c>
      <c r="N4" s="58">
        <v>0</v>
      </c>
      <c r="O4" s="58">
        <v>0</v>
      </c>
      <c r="P4" s="58">
        <v>0</v>
      </c>
      <c r="Q4" s="58">
        <f t="shared" ref="Q4:Q6" si="2">+K4*18%</f>
        <v>1260</v>
      </c>
      <c r="R4" s="58">
        <v>0</v>
      </c>
      <c r="S4" s="58">
        <v>0</v>
      </c>
      <c r="T4" s="58">
        <f t="shared" ref="T4:T6" si="3">+SUM(K4:S4)</f>
        <v>8260</v>
      </c>
      <c r="U4" s="19"/>
      <c r="V4" s="48">
        <v>1</v>
      </c>
      <c r="W4" s="9"/>
      <c r="X4" s="9"/>
      <c r="Y4" s="9"/>
      <c r="Z4" s="9"/>
      <c r="AD4" s="136" t="s">
        <v>153</v>
      </c>
      <c r="AE4" s="137" t="s">
        <v>154</v>
      </c>
      <c r="AF4" s="137" t="s">
        <v>11</v>
      </c>
      <c r="AG4" s="138">
        <f t="shared" ref="AG4:AG6" si="4">+T4</f>
        <v>8260</v>
      </c>
      <c r="AH4" s="31"/>
      <c r="AI4" s="37"/>
      <c r="AJ4" s="31"/>
      <c r="AK4" s="9" t="s">
        <v>265</v>
      </c>
      <c r="AL4" s="19">
        <v>200</v>
      </c>
      <c r="AM4" s="19">
        <v>35</v>
      </c>
      <c r="AN4" s="19">
        <f t="shared" si="0"/>
        <v>7000</v>
      </c>
      <c r="AO4" s="7"/>
    </row>
    <row r="5" spans="1:41">
      <c r="A5" s="55" t="s">
        <v>140</v>
      </c>
      <c r="B5" s="56">
        <f>+B4</f>
        <v>44877</v>
      </c>
      <c r="C5" s="56">
        <f t="shared" ref="C5:C6" si="5">+C4+1</f>
        <v>44879</v>
      </c>
      <c r="D5" s="55" t="s">
        <v>16</v>
      </c>
      <c r="E5" s="55" t="s">
        <v>133</v>
      </c>
      <c r="F5" s="55" t="s">
        <v>141</v>
      </c>
      <c r="G5" s="55" t="s">
        <v>60</v>
      </c>
      <c r="H5" s="9">
        <v>20205073257</v>
      </c>
      <c r="I5" s="9" t="s">
        <v>18</v>
      </c>
      <c r="J5" s="57">
        <v>0</v>
      </c>
      <c r="K5" s="58">
        <f t="shared" si="1"/>
        <v>680</v>
      </c>
      <c r="L5" s="58">
        <v>0</v>
      </c>
      <c r="M5" s="58">
        <v>0</v>
      </c>
      <c r="N5" s="58">
        <v>0</v>
      </c>
      <c r="O5" s="58">
        <v>0</v>
      </c>
      <c r="P5" s="58">
        <v>0</v>
      </c>
      <c r="Q5" s="58">
        <f t="shared" si="2"/>
        <v>122.39999999999999</v>
      </c>
      <c r="R5" s="58">
        <v>0</v>
      </c>
      <c r="S5" s="58">
        <v>0</v>
      </c>
      <c r="T5" s="58">
        <f t="shared" si="3"/>
        <v>802.4</v>
      </c>
      <c r="U5" s="19"/>
      <c r="V5" s="48">
        <v>1</v>
      </c>
      <c r="W5" s="9"/>
      <c r="X5" s="9"/>
      <c r="Y5" s="9"/>
      <c r="Z5" s="9"/>
      <c r="AD5" s="136" t="s">
        <v>153</v>
      </c>
      <c r="AE5" s="137" t="s">
        <v>154</v>
      </c>
      <c r="AF5" s="137" t="s">
        <v>11</v>
      </c>
      <c r="AG5" s="138">
        <f t="shared" si="4"/>
        <v>802.4</v>
      </c>
      <c r="AH5" s="31"/>
      <c r="AI5" s="37"/>
      <c r="AJ5" s="31"/>
      <c r="AK5" s="9" t="s">
        <v>265</v>
      </c>
      <c r="AL5" s="45">
        <v>20</v>
      </c>
      <c r="AM5" s="45">
        <v>34</v>
      </c>
      <c r="AN5" s="19">
        <f t="shared" si="0"/>
        <v>680</v>
      </c>
    </row>
    <row r="6" spans="1:41">
      <c r="A6" s="55" t="s">
        <v>142</v>
      </c>
      <c r="B6" s="56">
        <f t="shared" ref="B6" si="6">+B5+1</f>
        <v>44878</v>
      </c>
      <c r="C6" s="56">
        <f t="shared" si="5"/>
        <v>44880</v>
      </c>
      <c r="D6" s="55" t="s">
        <v>16</v>
      </c>
      <c r="E6" s="55" t="s">
        <v>133</v>
      </c>
      <c r="F6" s="55" t="s">
        <v>143</v>
      </c>
      <c r="G6" s="55" t="s">
        <v>60</v>
      </c>
      <c r="H6" s="9">
        <v>20205073257</v>
      </c>
      <c r="I6" s="9" t="s">
        <v>18</v>
      </c>
      <c r="J6" s="57">
        <v>0</v>
      </c>
      <c r="K6" s="58">
        <f t="shared" si="1"/>
        <v>3400</v>
      </c>
      <c r="L6" s="58">
        <v>0</v>
      </c>
      <c r="M6" s="58">
        <v>0</v>
      </c>
      <c r="N6" s="58">
        <v>0</v>
      </c>
      <c r="O6" s="58">
        <v>0</v>
      </c>
      <c r="P6" s="58">
        <v>0</v>
      </c>
      <c r="Q6" s="58">
        <f t="shared" si="2"/>
        <v>612</v>
      </c>
      <c r="R6" s="58">
        <v>0</v>
      </c>
      <c r="S6" s="58">
        <v>0</v>
      </c>
      <c r="T6" s="58">
        <f t="shared" si="3"/>
        <v>4012</v>
      </c>
      <c r="U6" s="19"/>
      <c r="V6" s="48">
        <v>1</v>
      </c>
      <c r="W6" s="9"/>
      <c r="X6" s="9"/>
      <c r="Y6" s="9"/>
      <c r="Z6" s="9"/>
      <c r="AD6" s="136" t="s">
        <v>153</v>
      </c>
      <c r="AE6" s="137" t="s">
        <v>154</v>
      </c>
      <c r="AF6" s="137" t="s">
        <v>11</v>
      </c>
      <c r="AG6" s="138">
        <f t="shared" si="4"/>
        <v>4012</v>
      </c>
      <c r="AK6" s="9" t="s">
        <v>265</v>
      </c>
      <c r="AL6" s="5">
        <v>100</v>
      </c>
      <c r="AM6" s="5">
        <v>34</v>
      </c>
      <c r="AN6" s="19">
        <f t="shared" si="0"/>
        <v>3400</v>
      </c>
    </row>
    <row r="7" spans="1:41" ht="12.5" thickBot="1">
      <c r="K7" s="101">
        <f>+SUM(K3:K6)</f>
        <v>27580</v>
      </c>
      <c r="Q7" s="101">
        <f>+SUM(Q3:Q6)</f>
        <v>4964.3999999999996</v>
      </c>
      <c r="T7" s="101">
        <f>+SUM(T3:T6)</f>
        <v>32544.400000000001</v>
      </c>
    </row>
    <row r="8" spans="1:41" ht="12.5" thickTop="1">
      <c r="K8" s="3">
        <v>70111</v>
      </c>
      <c r="Q8" s="3">
        <v>4011</v>
      </c>
      <c r="T8" s="3">
        <v>1212</v>
      </c>
    </row>
    <row r="9" spans="1:41">
      <c r="K9" s="3" t="s">
        <v>240</v>
      </c>
      <c r="Q9" s="3" t="s">
        <v>27</v>
      </c>
      <c r="T9" s="3" t="s">
        <v>241</v>
      </c>
    </row>
    <row r="10" spans="1:41">
      <c r="G10" s="134" t="s">
        <v>160</v>
      </c>
      <c r="H10" s="134" t="s">
        <v>1</v>
      </c>
      <c r="I10" s="135" t="s">
        <v>29</v>
      </c>
      <c r="J10" s="135" t="s">
        <v>30</v>
      </c>
      <c r="K10" s="135" t="s">
        <v>30</v>
      </c>
    </row>
    <row r="11" spans="1:41">
      <c r="G11" s="3">
        <v>1212</v>
      </c>
      <c r="H11" s="3" t="s">
        <v>241</v>
      </c>
      <c r="I11" s="7">
        <f>+T7</f>
        <v>32544.400000000001</v>
      </c>
    </row>
    <row r="12" spans="1:41">
      <c r="G12" s="3">
        <v>4011</v>
      </c>
      <c r="H12" s="3" t="s">
        <v>27</v>
      </c>
      <c r="K12" s="7">
        <f>+Q7</f>
        <v>4964.3999999999996</v>
      </c>
    </row>
    <row r="13" spans="1:41">
      <c r="G13" s="3">
        <v>70111</v>
      </c>
      <c r="H13" s="3" t="s">
        <v>240</v>
      </c>
      <c r="K13" s="7">
        <f>+K7</f>
        <v>27580</v>
      </c>
    </row>
    <row r="14" spans="1:41" ht="12.5" thickBot="1">
      <c r="I14" s="132">
        <f>+SUM(I11:I13)</f>
        <v>32544.400000000001</v>
      </c>
      <c r="J14" s="133"/>
      <c r="K14" s="132">
        <f>+SUM(K11:K13)</f>
        <v>32544.400000000001</v>
      </c>
      <c r="Q14" s="7">
        <f>+I14-K14</f>
        <v>0</v>
      </c>
    </row>
    <row r="15" spans="1:41" ht="12.5" thickTop="1"/>
    <row r="16" spans="1:41">
      <c r="G16" s="139">
        <v>6912</v>
      </c>
      <c r="H16" s="139" t="s">
        <v>243</v>
      </c>
      <c r="I16" s="219">
        <f>+kardex!K12</f>
        <v>21456.666666666668</v>
      </c>
      <c r="J16" s="139"/>
      <c r="K16" s="139"/>
    </row>
    <row r="17" spans="7:17">
      <c r="G17" s="139">
        <v>20111</v>
      </c>
      <c r="H17" s="139" t="s">
        <v>242</v>
      </c>
      <c r="I17" s="139"/>
      <c r="J17" s="139"/>
      <c r="K17" s="219">
        <f>+I16</f>
        <v>21456.666666666668</v>
      </c>
    </row>
    <row r="18" spans="7:17" ht="12.5" thickBot="1">
      <c r="I18" s="132">
        <f>+SUM(I16:I17)</f>
        <v>21456.666666666668</v>
      </c>
      <c r="J18" s="133"/>
      <c r="K18" s="132">
        <f>+SUM(K16:K17)</f>
        <v>21456.666666666668</v>
      </c>
      <c r="Q18" s="7">
        <f>+I18-K18</f>
        <v>0</v>
      </c>
    </row>
    <row r="19" spans="7:17" ht="12.5" thickTop="1"/>
    <row r="20" spans="7:17">
      <c r="G20" s="3">
        <v>1041</v>
      </c>
      <c r="H20" s="3" t="s">
        <v>244</v>
      </c>
      <c r="I20" s="7">
        <f>+SUM(AG4:AG6)</f>
        <v>13074.4</v>
      </c>
      <c r="M20" s="85"/>
      <c r="N20" s="85"/>
      <c r="O20" s="85"/>
      <c r="P20" s="85"/>
      <c r="Q20" s="85"/>
    </row>
    <row r="21" spans="7:17">
      <c r="G21" s="3">
        <v>1212</v>
      </c>
      <c r="H21" s="3" t="s">
        <v>241</v>
      </c>
      <c r="K21" s="7">
        <f>+SUM(I20)</f>
        <v>13074.4</v>
      </c>
      <c r="M21" s="85"/>
      <c r="N21" s="85"/>
      <c r="O21" s="85"/>
      <c r="P21" s="85"/>
      <c r="Q21" s="85"/>
    </row>
    <row r="22" spans="7:17" ht="12.5" thickBot="1">
      <c r="I22" s="132">
        <f>+SUM(I20:I21)</f>
        <v>13074.4</v>
      </c>
      <c r="J22" s="133"/>
      <c r="K22" s="132">
        <f>+SUM(K20:K21)</f>
        <v>13074.4</v>
      </c>
      <c r="Q22" s="7">
        <f>+I22-K22</f>
        <v>0</v>
      </c>
    </row>
    <row r="23" spans="7:17" ht="12.5" thickTop="1"/>
  </sheetData>
  <mergeCells count="6">
    <mergeCell ref="AK1:AN1"/>
    <mergeCell ref="D1:F1"/>
    <mergeCell ref="G1:H1"/>
    <mergeCell ref="N1:O1"/>
    <mergeCell ref="W1:Z1"/>
    <mergeCell ref="AD1:A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B29EB-BB83-42DB-AC2C-533D855E4A56}">
  <sheetPr>
    <tabColor theme="7" tint="-0.499984740745262"/>
  </sheetPr>
  <dimension ref="B1:N13"/>
  <sheetViews>
    <sheetView showGridLines="0" zoomScale="120" zoomScaleNormal="120" workbookViewId="0">
      <pane xSplit="5" ySplit="4" topLeftCell="H5" activePane="bottomRight" state="frozen"/>
      <selection activeCell="K17" sqref="K17"/>
      <selection pane="topRight" activeCell="K17" sqref="K17"/>
      <selection pane="bottomLeft" activeCell="K17" sqref="K17"/>
      <selection pane="bottomRight" activeCell="L23" sqref="L23"/>
    </sheetView>
  </sheetViews>
  <sheetFormatPr baseColWidth="10" defaultRowHeight="12"/>
  <cols>
    <col min="1" max="1" width="1.54296875" style="26" customWidth="1"/>
    <col min="2" max="2" width="14.81640625" style="26" bestFit="1" customWidth="1"/>
    <col min="3" max="3" width="22.08984375" style="26" bestFit="1" customWidth="1"/>
    <col min="4" max="4" width="8.26953125" style="26" bestFit="1" customWidth="1"/>
    <col min="5" max="5" width="5.6328125" style="26" bestFit="1" customWidth="1"/>
    <col min="6" max="6" width="7.1796875" style="26" bestFit="1" customWidth="1"/>
    <col min="7" max="7" width="5.6328125" style="26" bestFit="1" customWidth="1"/>
    <col min="8" max="8" width="8.7265625" style="26" bestFit="1" customWidth="1"/>
    <col min="9" max="9" width="6.36328125" style="26" bestFit="1" customWidth="1"/>
    <col min="10" max="10" width="5.6328125" style="26" bestFit="1" customWidth="1"/>
    <col min="11" max="11" width="8.54296875" style="26" bestFit="1" customWidth="1"/>
    <col min="12" max="12" width="15.26953125" style="26" customWidth="1"/>
    <col min="13" max="13" width="5.6328125" style="26" bestFit="1" customWidth="1"/>
    <col min="14" max="14" width="8.7265625" style="26" bestFit="1" customWidth="1"/>
    <col min="15" max="16384" width="10.90625" style="26"/>
  </cols>
  <sheetData>
    <row r="1" spans="2:14">
      <c r="B1" s="216" t="s">
        <v>268</v>
      </c>
    </row>
    <row r="2" spans="2:14" ht="12.5" thickBot="1"/>
    <row r="3" spans="2:14" ht="12.5" thickBot="1">
      <c r="F3" s="209" t="s">
        <v>261</v>
      </c>
      <c r="G3" s="210"/>
      <c r="H3" s="211"/>
      <c r="I3" s="209" t="s">
        <v>262</v>
      </c>
      <c r="J3" s="210"/>
      <c r="K3" s="211"/>
      <c r="L3" s="209" t="s">
        <v>263</v>
      </c>
      <c r="M3" s="210"/>
      <c r="N3" s="211"/>
    </row>
    <row r="4" spans="2:14">
      <c r="B4" s="212" t="s">
        <v>264</v>
      </c>
      <c r="C4" s="212" t="s">
        <v>1</v>
      </c>
      <c r="D4" s="212" t="s">
        <v>13</v>
      </c>
      <c r="E4" s="212" t="s">
        <v>5</v>
      </c>
      <c r="F4" s="212" t="s">
        <v>2</v>
      </c>
      <c r="G4" s="212" t="s">
        <v>260</v>
      </c>
      <c r="H4" s="212" t="s">
        <v>3</v>
      </c>
      <c r="I4" s="212" t="s">
        <v>2</v>
      </c>
      <c r="J4" s="212" t="s">
        <v>260</v>
      </c>
      <c r="K4" s="212" t="s">
        <v>3</v>
      </c>
      <c r="L4" s="212" t="s">
        <v>2</v>
      </c>
      <c r="M4" s="212" t="s">
        <v>260</v>
      </c>
      <c r="N4" s="212" t="s">
        <v>3</v>
      </c>
    </row>
    <row r="5" spans="2:14">
      <c r="B5" s="29"/>
      <c r="C5" s="29" t="s">
        <v>267</v>
      </c>
      <c r="D5" s="29"/>
      <c r="E5" s="29"/>
      <c r="F5" s="29"/>
      <c r="G5" s="29"/>
      <c r="H5" s="29"/>
      <c r="I5" s="29"/>
      <c r="J5" s="29"/>
      <c r="K5" s="29"/>
      <c r="L5" s="21">
        <v>0</v>
      </c>
      <c r="M5" s="217">
        <v>0</v>
      </c>
      <c r="N5" s="21">
        <v>0</v>
      </c>
    </row>
    <row r="6" spans="2:14">
      <c r="B6" s="213" t="s">
        <v>266</v>
      </c>
      <c r="C6" s="9" t="s">
        <v>265</v>
      </c>
      <c r="D6" s="30">
        <f>+'Op2'!B3</f>
        <v>44868</v>
      </c>
      <c r="E6" s="29" t="s">
        <v>259</v>
      </c>
      <c r="F6" s="214">
        <f>+'Op2'!AO3</f>
        <v>5000</v>
      </c>
      <c r="G6" s="214">
        <f>+H6/F6</f>
        <v>25</v>
      </c>
      <c r="H6" s="214">
        <f>+'Op2'!AQ3</f>
        <v>125000</v>
      </c>
      <c r="I6" s="29"/>
      <c r="J6" s="29"/>
      <c r="K6" s="29"/>
      <c r="L6" s="214">
        <f>+L5+F6-I6</f>
        <v>5000</v>
      </c>
      <c r="M6" s="215">
        <f>+N6/L6</f>
        <v>25</v>
      </c>
      <c r="N6" s="214">
        <f>+N5+H6-K6</f>
        <v>125000</v>
      </c>
    </row>
    <row r="7" spans="2:14">
      <c r="B7" s="213" t="s">
        <v>266</v>
      </c>
      <c r="C7" s="9" t="s">
        <v>265</v>
      </c>
      <c r="D7" s="30">
        <f>+'Op2'!B4</f>
        <v>44872</v>
      </c>
      <c r="E7" s="29" t="s">
        <v>259</v>
      </c>
      <c r="F7" s="214">
        <f>+'Op2'!AO4</f>
        <v>7000</v>
      </c>
      <c r="G7" s="215">
        <f>+H7/F7</f>
        <v>27</v>
      </c>
      <c r="H7" s="214">
        <f>+'Op2'!AQ4</f>
        <v>189000</v>
      </c>
      <c r="I7" s="29"/>
      <c r="J7" s="29"/>
      <c r="K7" s="29"/>
      <c r="L7" s="214">
        <f>+L6+F7-I7</f>
        <v>12000</v>
      </c>
      <c r="M7" s="215">
        <f>+N7/L7</f>
        <v>26.166666666666668</v>
      </c>
      <c r="N7" s="214">
        <f>+N6+H7-K7</f>
        <v>314000</v>
      </c>
    </row>
    <row r="8" spans="2:14">
      <c r="B8" s="213" t="s">
        <v>266</v>
      </c>
      <c r="C8" s="9" t="s">
        <v>265</v>
      </c>
      <c r="D8" s="30">
        <f>+'Op3'!B3</f>
        <v>44877</v>
      </c>
      <c r="E8" s="29" t="s">
        <v>199</v>
      </c>
      <c r="F8" s="29"/>
      <c r="G8" s="29"/>
      <c r="H8" s="29"/>
      <c r="I8" s="214">
        <f>+'Op3'!AL3</f>
        <v>500</v>
      </c>
      <c r="J8" s="214">
        <f>+M7</f>
        <v>26.166666666666668</v>
      </c>
      <c r="K8" s="214">
        <f>+I8*J8</f>
        <v>13083.333333333334</v>
      </c>
      <c r="L8" s="214">
        <f t="shared" ref="L8:L11" si="0">+L7+F8-I8</f>
        <v>11500</v>
      </c>
      <c r="M8" s="215">
        <f t="shared" ref="M8:M11" si="1">+N8/L8</f>
        <v>26.166666666666668</v>
      </c>
      <c r="N8" s="214">
        <f t="shared" ref="N8:N11" si="2">+N7+H8-K8</f>
        <v>300916.66666666669</v>
      </c>
    </row>
    <row r="9" spans="2:14">
      <c r="B9" s="213" t="s">
        <v>266</v>
      </c>
      <c r="C9" s="9" t="s">
        <v>265</v>
      </c>
      <c r="D9" s="30">
        <f>+'Op3'!B4</f>
        <v>44877</v>
      </c>
      <c r="E9" s="29" t="s">
        <v>199</v>
      </c>
      <c r="F9" s="29"/>
      <c r="G9" s="29"/>
      <c r="H9" s="29"/>
      <c r="I9" s="214">
        <f>+'Op3'!AL4</f>
        <v>200</v>
      </c>
      <c r="J9" s="214">
        <f t="shared" ref="J9:J11" si="3">+M8</f>
        <v>26.166666666666668</v>
      </c>
      <c r="K9" s="214">
        <f t="shared" ref="K9:K11" si="4">+I9*J9</f>
        <v>5233.3333333333339</v>
      </c>
      <c r="L9" s="214">
        <f t="shared" si="0"/>
        <v>11300</v>
      </c>
      <c r="M9" s="215">
        <f t="shared" si="1"/>
        <v>26.166666666666671</v>
      </c>
      <c r="N9" s="214">
        <f t="shared" si="2"/>
        <v>295683.33333333337</v>
      </c>
    </row>
    <row r="10" spans="2:14">
      <c r="B10" s="213" t="s">
        <v>266</v>
      </c>
      <c r="C10" s="9" t="s">
        <v>265</v>
      </c>
      <c r="D10" s="30">
        <f>+'Op3'!B5</f>
        <v>44877</v>
      </c>
      <c r="E10" s="29" t="s">
        <v>199</v>
      </c>
      <c r="F10" s="29"/>
      <c r="G10" s="29"/>
      <c r="H10" s="29"/>
      <c r="I10" s="214">
        <f>+'Op3'!AL5</f>
        <v>20</v>
      </c>
      <c r="J10" s="214">
        <f t="shared" si="3"/>
        <v>26.166666666666671</v>
      </c>
      <c r="K10" s="214">
        <f t="shared" si="4"/>
        <v>523.33333333333348</v>
      </c>
      <c r="L10" s="214">
        <f t="shared" si="0"/>
        <v>11280</v>
      </c>
      <c r="M10" s="215">
        <f t="shared" si="1"/>
        <v>26.166666666666671</v>
      </c>
      <c r="N10" s="214">
        <f t="shared" si="2"/>
        <v>295160.00000000006</v>
      </c>
    </row>
    <row r="11" spans="2:14">
      <c r="B11" s="213" t="s">
        <v>266</v>
      </c>
      <c r="C11" s="9" t="s">
        <v>265</v>
      </c>
      <c r="D11" s="30">
        <f>+'Op3'!B6</f>
        <v>44878</v>
      </c>
      <c r="E11" s="29" t="s">
        <v>199</v>
      </c>
      <c r="F11" s="29"/>
      <c r="G11" s="29"/>
      <c r="H11" s="29"/>
      <c r="I11" s="214">
        <f>+'Op3'!AL6</f>
        <v>100</v>
      </c>
      <c r="J11" s="214">
        <f t="shared" si="3"/>
        <v>26.166666666666671</v>
      </c>
      <c r="K11" s="214">
        <f t="shared" si="4"/>
        <v>2616.666666666667</v>
      </c>
      <c r="L11" s="214">
        <f t="shared" si="0"/>
        <v>11180</v>
      </c>
      <c r="M11" s="215">
        <f t="shared" si="1"/>
        <v>26.166666666666671</v>
      </c>
      <c r="N11" s="214">
        <f t="shared" si="2"/>
        <v>292543.33333333337</v>
      </c>
    </row>
    <row r="12" spans="2:14" ht="12.5" thickBot="1">
      <c r="I12" s="218">
        <f>+SUM(I8:I11)</f>
        <v>820</v>
      </c>
      <c r="K12" s="218">
        <f>+SUM(K8:K11)</f>
        <v>21456.666666666668</v>
      </c>
    </row>
    <row r="13" spans="2:14" ht="12.5" thickTop="1"/>
  </sheetData>
  <mergeCells count="3">
    <mergeCell ref="F3:H3"/>
    <mergeCell ref="I3:K3"/>
    <mergeCell ref="L3:N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E37FE-0622-4497-9790-31278F890B1B}">
  <sheetPr>
    <tabColor theme="7" tint="-0.499984740745262"/>
  </sheetPr>
  <dimension ref="A1:O32"/>
  <sheetViews>
    <sheetView showGridLines="0" zoomScale="120" zoomScaleNormal="120" workbookViewId="0">
      <selection activeCell="C11" sqref="C11"/>
    </sheetView>
  </sheetViews>
  <sheetFormatPr baseColWidth="10" defaultRowHeight="12"/>
  <cols>
    <col min="1" max="1" width="4" style="3" bestFit="1" customWidth="1"/>
    <col min="2" max="2" width="4.6328125" style="3" customWidth="1"/>
    <col min="3" max="3" width="10.90625" style="3"/>
    <col min="4" max="4" width="6.26953125" style="3" customWidth="1"/>
    <col min="5" max="5" width="8.54296875" style="3" bestFit="1" customWidth="1"/>
    <col min="6" max="6" width="8.90625" style="3" customWidth="1"/>
    <col min="7" max="7" width="2.54296875" style="3" bestFit="1" customWidth="1"/>
    <col min="8" max="16384" width="10.90625" style="3"/>
  </cols>
  <sheetData>
    <row r="1" spans="1:15">
      <c r="A1" s="78" t="s">
        <v>176</v>
      </c>
      <c r="B1" s="3" t="s">
        <v>159</v>
      </c>
    </row>
    <row r="2" spans="1:15" ht="12.5" thickBot="1"/>
    <row r="3" spans="1:15" ht="12.5" thickBot="1">
      <c r="D3" s="28" t="s">
        <v>23</v>
      </c>
      <c r="E3" s="28" t="s">
        <v>15</v>
      </c>
      <c r="F3" s="28" t="s">
        <v>8</v>
      </c>
    </row>
    <row r="4" spans="1:15" ht="12.5" thickBot="1">
      <c r="B4" s="18"/>
      <c r="C4" s="18"/>
      <c r="D4" s="64" t="s">
        <v>22</v>
      </c>
      <c r="E4" s="65">
        <v>1000</v>
      </c>
      <c r="F4" s="66" t="s">
        <v>10</v>
      </c>
      <c r="G4" s="22" t="s">
        <v>4</v>
      </c>
      <c r="H4" s="18"/>
      <c r="I4" s="18"/>
      <c r="J4" s="18"/>
      <c r="K4" s="18"/>
      <c r="L4" s="18"/>
      <c r="M4" s="18"/>
      <c r="N4" s="18"/>
      <c r="O4" s="18"/>
    </row>
    <row r="5" spans="1:15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5">
      <c r="B6" s="22" t="s">
        <v>4</v>
      </c>
      <c r="C6" s="61" t="s">
        <v>249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>
      <c r="B7" s="22" t="s">
        <v>25</v>
      </c>
      <c r="C7" s="18" t="s">
        <v>214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>
      <c r="B8" s="22" t="s">
        <v>201</v>
      </c>
      <c r="C8" s="102" t="s">
        <v>202</v>
      </c>
      <c r="D8" s="102"/>
      <c r="E8" s="102"/>
      <c r="F8" s="102"/>
      <c r="G8" s="102"/>
      <c r="H8" s="102"/>
      <c r="I8" s="102"/>
      <c r="J8" s="102"/>
    </row>
    <row r="10" spans="1:15" ht="12.5" thickBot="1">
      <c r="B10" s="141" t="s">
        <v>245</v>
      </c>
    </row>
    <row r="11" spans="1:15" ht="12.5" thickBot="1">
      <c r="C11" s="28" t="s">
        <v>15</v>
      </c>
      <c r="D11" s="28" t="s">
        <v>200</v>
      </c>
      <c r="E11" s="28" t="s">
        <v>11</v>
      </c>
    </row>
    <row r="12" spans="1:15" ht="12.5" thickBot="1">
      <c r="C12" s="65">
        <v>10000</v>
      </c>
      <c r="D12" s="140">
        <v>3.9780000000000002</v>
      </c>
      <c r="E12" s="103">
        <f>+C12*D12</f>
        <v>39780</v>
      </c>
    </row>
    <row r="14" spans="1:15">
      <c r="F14" s="142" t="s">
        <v>29</v>
      </c>
      <c r="H14" s="142" t="s">
        <v>30</v>
      </c>
    </row>
    <row r="15" spans="1:15">
      <c r="B15" s="3">
        <v>189</v>
      </c>
      <c r="C15" s="3" t="s">
        <v>247</v>
      </c>
      <c r="F15" s="7">
        <f>+E12</f>
        <v>39780</v>
      </c>
    </row>
    <row r="16" spans="1:15">
      <c r="B16" s="3">
        <v>1041</v>
      </c>
      <c r="C16" s="3" t="s">
        <v>248</v>
      </c>
      <c r="H16" s="7">
        <f>+E12</f>
        <v>39780</v>
      </c>
    </row>
    <row r="20" spans="2:8">
      <c r="B20" s="141" t="s">
        <v>246</v>
      </c>
    </row>
    <row r="21" spans="2:8" ht="12.5" thickBot="1"/>
    <row r="22" spans="2:8" ht="12.5" thickBot="1">
      <c r="C22" s="28" t="s">
        <v>15</v>
      </c>
      <c r="D22" s="28" t="s">
        <v>200</v>
      </c>
      <c r="E22" s="28" t="s">
        <v>11</v>
      </c>
    </row>
    <row r="23" spans="2:8" ht="12.5" thickBot="1">
      <c r="C23" s="65">
        <f>+E4</f>
        <v>1000</v>
      </c>
      <c r="D23" s="140">
        <v>3.9780000000000002</v>
      </c>
      <c r="E23" s="103">
        <f>+C23*D23</f>
        <v>3978</v>
      </c>
    </row>
    <row r="25" spans="2:8">
      <c r="B25" s="3">
        <v>635</v>
      </c>
      <c r="C25" s="3" t="s">
        <v>250</v>
      </c>
      <c r="F25" s="7">
        <f>+E23</f>
        <v>3978</v>
      </c>
    </row>
    <row r="26" spans="2:8">
      <c r="B26" s="131">
        <v>4699</v>
      </c>
      <c r="C26" s="131" t="s">
        <v>239</v>
      </c>
      <c r="H26" s="7">
        <f>+F25</f>
        <v>3978</v>
      </c>
    </row>
    <row r="29" spans="2:8">
      <c r="B29" s="26">
        <v>92</v>
      </c>
      <c r="C29" s="26" t="s">
        <v>48</v>
      </c>
    </row>
    <row r="30" spans="2:8">
      <c r="B30" s="26">
        <v>93</v>
      </c>
      <c r="C30" s="26" t="s">
        <v>49</v>
      </c>
      <c r="F30" s="7">
        <f>+F25</f>
        <v>3978</v>
      </c>
    </row>
    <row r="31" spans="2:8">
      <c r="B31" s="26">
        <v>79</v>
      </c>
      <c r="C31" s="26" t="s">
        <v>229</v>
      </c>
      <c r="H31" s="7">
        <f>+F30</f>
        <v>3978</v>
      </c>
    </row>
    <row r="32" spans="2:8">
      <c r="B32" s="26"/>
      <c r="C32" s="2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EAC5B-719C-4180-ABB9-199263DE4F09}">
  <sheetPr>
    <tabColor theme="7" tint="-0.499984740745262"/>
  </sheetPr>
  <dimension ref="A1:XFD73"/>
  <sheetViews>
    <sheetView showGridLines="0" topLeftCell="A7" zoomScale="120" zoomScaleNormal="120" workbookViewId="0">
      <selection activeCell="A12" sqref="A12:E20"/>
    </sheetView>
  </sheetViews>
  <sheetFormatPr baseColWidth="10" defaultRowHeight="12"/>
  <cols>
    <col min="1" max="1" width="4" style="3" bestFit="1" customWidth="1"/>
    <col min="2" max="2" width="10.90625" style="3"/>
    <col min="3" max="3" width="4.453125" style="3" bestFit="1" customWidth="1"/>
    <col min="4" max="4" width="10.90625" style="3"/>
    <col min="5" max="5" width="10.7265625" style="3" bestFit="1" customWidth="1"/>
    <col min="6" max="6" width="8.26953125" style="3" bestFit="1" customWidth="1"/>
    <col min="7" max="8" width="15.54296875" style="3" bestFit="1" customWidth="1"/>
    <col min="9" max="9" width="1" style="3" customWidth="1"/>
    <col min="10" max="10" width="1" style="221" customWidth="1"/>
    <col min="11" max="11" width="1" style="3" customWidth="1"/>
    <col min="12" max="12" width="5.08984375" style="3" bestFit="1" customWidth="1"/>
    <col min="13" max="13" width="9.90625" style="3" bestFit="1" customWidth="1"/>
    <col min="14" max="14" width="2.90625" style="3" customWidth="1"/>
    <col min="15" max="15" width="9.90625" style="3" bestFit="1" customWidth="1"/>
    <col min="16" max="16" width="2.90625" style="3" customWidth="1"/>
    <col min="17" max="17" width="8.54296875" style="3" bestFit="1" customWidth="1"/>
    <col min="18" max="18" width="3.90625" style="3" customWidth="1"/>
    <col min="19" max="19" width="1" style="3" customWidth="1"/>
    <col min="20" max="20" width="1" style="221" customWidth="1"/>
    <col min="21" max="21" width="1" style="3" customWidth="1"/>
    <col min="22" max="22" width="9.453125" style="3" bestFit="1" customWidth="1"/>
    <col min="23" max="23" width="4.453125" style="3" bestFit="1" customWidth="1"/>
    <col min="24" max="24" width="5.1796875" style="3" bestFit="1" customWidth="1"/>
    <col min="25" max="25" width="5.453125" style="3" bestFit="1" customWidth="1"/>
    <col min="26" max="26" width="8.6328125" style="3" bestFit="1" customWidth="1"/>
    <col min="27" max="27" width="8.26953125" style="3" bestFit="1" customWidth="1"/>
    <col min="28" max="28" width="8.7265625" style="3" bestFit="1" customWidth="1"/>
    <col min="29" max="29" width="10.26953125" style="3" bestFit="1" customWidth="1"/>
    <col min="30" max="30" width="15.54296875" style="3" bestFit="1" customWidth="1"/>
    <col min="31" max="31" width="14" style="3" bestFit="1" customWidth="1"/>
    <col min="32" max="33" width="7.7265625" style="3" bestFit="1" customWidth="1"/>
    <col min="34" max="16384" width="10.90625" style="3"/>
  </cols>
  <sheetData>
    <row r="1" spans="1:35 16384:16384">
      <c r="A1" s="78" t="s">
        <v>204</v>
      </c>
      <c r="B1" s="3" t="s">
        <v>210</v>
      </c>
    </row>
    <row r="2" spans="1:35 16384:16384" ht="12.5" thickBot="1"/>
    <row r="3" spans="1:35 16384:16384" ht="24.5" thickBot="1">
      <c r="C3" s="222" t="s">
        <v>2</v>
      </c>
      <c r="D3" s="222" t="s">
        <v>207</v>
      </c>
      <c r="E3" s="222" t="s">
        <v>207</v>
      </c>
      <c r="F3" s="222" t="s">
        <v>164</v>
      </c>
      <c r="G3" s="222" t="s">
        <v>208</v>
      </c>
      <c r="H3" s="222" t="s">
        <v>209</v>
      </c>
      <c r="M3" s="222" t="s">
        <v>274</v>
      </c>
      <c r="O3" s="222" t="s">
        <v>291</v>
      </c>
      <c r="Q3" s="226" t="s">
        <v>293</v>
      </c>
      <c r="V3" s="222" t="s">
        <v>1</v>
      </c>
      <c r="W3" s="222" t="s">
        <v>2</v>
      </c>
      <c r="X3" s="222" t="s">
        <v>294</v>
      </c>
      <c r="Y3" s="222" t="s">
        <v>299</v>
      </c>
      <c r="Z3" s="222" t="s">
        <v>207</v>
      </c>
      <c r="AA3" s="222" t="s">
        <v>164</v>
      </c>
      <c r="AB3" s="222" t="s">
        <v>207</v>
      </c>
      <c r="AC3" s="222" t="s">
        <v>300</v>
      </c>
      <c r="AD3" s="222" t="s">
        <v>208</v>
      </c>
      <c r="AE3" s="222" t="s">
        <v>301</v>
      </c>
      <c r="AF3" s="234">
        <v>44866</v>
      </c>
      <c r="AG3" s="234">
        <v>44896</v>
      </c>
      <c r="AH3" s="234" t="s">
        <v>302</v>
      </c>
      <c r="AI3" s="234" t="s">
        <v>303</v>
      </c>
    </row>
    <row r="4" spans="1:35 16384:16384">
      <c r="B4" s="4" t="s">
        <v>205</v>
      </c>
      <c r="C4" s="220">
        <v>2</v>
      </c>
      <c r="D4" s="220">
        <v>50700</v>
      </c>
      <c r="E4" s="220">
        <f>+C4*D4</f>
        <v>101400</v>
      </c>
      <c r="F4" s="116">
        <v>44866</v>
      </c>
      <c r="G4" s="117">
        <v>0.25</v>
      </c>
      <c r="H4" s="117">
        <v>0.2</v>
      </c>
      <c r="L4" s="3" t="s">
        <v>275</v>
      </c>
      <c r="M4" s="7">
        <f>+G4*E6</f>
        <v>60450</v>
      </c>
      <c r="O4" s="7">
        <f>+H4*E6</f>
        <v>48360</v>
      </c>
      <c r="Q4" s="7">
        <f>+M4-O4</f>
        <v>12090</v>
      </c>
      <c r="V4" s="235" t="s">
        <v>205</v>
      </c>
      <c r="W4" s="236">
        <v>2</v>
      </c>
      <c r="X4" s="236" t="s">
        <v>295</v>
      </c>
      <c r="Y4" s="236" t="s">
        <v>297</v>
      </c>
      <c r="Z4" s="236">
        <v>50700</v>
      </c>
      <c r="AA4" s="237">
        <v>44866</v>
      </c>
      <c r="AB4" s="236">
        <f>+W4*Z4</f>
        <v>101400</v>
      </c>
      <c r="AC4" s="238">
        <f>+AB4</f>
        <v>101400</v>
      </c>
      <c r="AD4" s="239">
        <v>0.25</v>
      </c>
      <c r="AE4" s="240">
        <f>+AD4*AC4</f>
        <v>25350</v>
      </c>
      <c r="AF4" s="238">
        <f>+AE4/12</f>
        <v>2112.5</v>
      </c>
      <c r="AG4" s="238">
        <f>+AF4</f>
        <v>2112.5</v>
      </c>
      <c r="AH4" s="238">
        <f>+AF4</f>
        <v>2112.5</v>
      </c>
      <c r="AI4" s="238">
        <f>+AC4-AH4</f>
        <v>99287.5</v>
      </c>
      <c r="XFD4" s="233">
        <f>+XFC4</f>
        <v>0</v>
      </c>
    </row>
    <row r="5" spans="1:35 16384:16384">
      <c r="B5" s="4" t="s">
        <v>206</v>
      </c>
      <c r="C5" s="220">
        <v>2</v>
      </c>
      <c r="D5" s="220">
        <v>70200</v>
      </c>
      <c r="E5" s="220">
        <f>+C5*D5</f>
        <v>140400</v>
      </c>
      <c r="F5" s="116">
        <v>44866</v>
      </c>
      <c r="G5" s="117">
        <v>0.25</v>
      </c>
      <c r="H5" s="117">
        <v>0.2</v>
      </c>
      <c r="L5" s="3" t="s">
        <v>276</v>
      </c>
      <c r="M5" s="7">
        <f>+M4</f>
        <v>60450</v>
      </c>
      <c r="O5" s="7">
        <f>+O4</f>
        <v>48360</v>
      </c>
      <c r="Q5" s="7">
        <f t="shared" ref="Q5:Q8" si="0">+M5-O5</f>
        <v>12090</v>
      </c>
      <c r="V5" s="235" t="s">
        <v>206</v>
      </c>
      <c r="W5" s="236">
        <v>2</v>
      </c>
      <c r="X5" s="236" t="s">
        <v>296</v>
      </c>
      <c r="Y5" s="236" t="s">
        <v>298</v>
      </c>
      <c r="Z5" s="236">
        <v>70200</v>
      </c>
      <c r="AA5" s="237">
        <v>44866</v>
      </c>
      <c r="AB5" s="236">
        <f>+W5*Z5</f>
        <v>140400</v>
      </c>
      <c r="AC5" s="238">
        <f>+AB5</f>
        <v>140400</v>
      </c>
      <c r="AD5" s="239">
        <v>0.25</v>
      </c>
      <c r="AE5" s="240">
        <f>+AD5*AC5</f>
        <v>35100</v>
      </c>
      <c r="AF5" s="238">
        <f>+AE5/12</f>
        <v>2925</v>
      </c>
      <c r="AG5" s="238">
        <f>+AF5</f>
        <v>2925</v>
      </c>
      <c r="AH5" s="238">
        <f>+AF5</f>
        <v>2925</v>
      </c>
      <c r="AI5" s="238">
        <f>+AC5-AH5</f>
        <v>137475</v>
      </c>
    </row>
    <row r="6" spans="1:35 16384:16384" ht="12.5" thickBot="1">
      <c r="E6" s="101">
        <f>+SUM(E4:E5)</f>
        <v>241800</v>
      </c>
      <c r="L6" s="3" t="s">
        <v>277</v>
      </c>
      <c r="M6" s="7">
        <f t="shared" ref="M6:M7" si="1">+M5</f>
        <v>60450</v>
      </c>
      <c r="O6" s="7">
        <f t="shared" ref="O6:O7" si="2">+O5</f>
        <v>48360</v>
      </c>
      <c r="Q6" s="7">
        <f t="shared" si="0"/>
        <v>12090</v>
      </c>
      <c r="AF6" s="132">
        <f>+SUM(AF4:AF5)</f>
        <v>5037.5</v>
      </c>
      <c r="AG6" s="132">
        <f>+SUM(AG4:AG5)</f>
        <v>5037.5</v>
      </c>
      <c r="AH6" s="132">
        <f t="shared" ref="AH6:AI6" si="3">+SUM(AH4:AH5)</f>
        <v>5037.5</v>
      </c>
      <c r="AI6" s="132">
        <f t="shared" si="3"/>
        <v>236762.5</v>
      </c>
    </row>
    <row r="7" spans="1:35 16384:16384" ht="13" thickTop="1" thickBot="1">
      <c r="L7" s="3" t="s">
        <v>278</v>
      </c>
      <c r="M7" s="7">
        <f t="shared" si="1"/>
        <v>60450</v>
      </c>
      <c r="O7" s="7">
        <f t="shared" si="2"/>
        <v>48360</v>
      </c>
      <c r="Q7" s="7">
        <f t="shared" si="0"/>
        <v>12090</v>
      </c>
    </row>
    <row r="8" spans="1:35 16384:16384" ht="24">
      <c r="L8" s="3" t="s">
        <v>292</v>
      </c>
      <c r="O8" s="7">
        <f>+O7</f>
        <v>48360</v>
      </c>
      <c r="Q8" s="7">
        <f t="shared" si="0"/>
        <v>-48360</v>
      </c>
      <c r="V8" s="222" t="s">
        <v>1</v>
      </c>
      <c r="W8" s="222" t="s">
        <v>2</v>
      </c>
      <c r="X8" s="222" t="s">
        <v>294</v>
      </c>
      <c r="Y8" s="222" t="s">
        <v>299</v>
      </c>
      <c r="Z8" s="222" t="s">
        <v>207</v>
      </c>
      <c r="AA8" s="222" t="s">
        <v>164</v>
      </c>
      <c r="AB8" s="222" t="s">
        <v>207</v>
      </c>
      <c r="AC8" s="222" t="s">
        <v>300</v>
      </c>
      <c r="AD8" s="222" t="s">
        <v>209</v>
      </c>
      <c r="AE8" s="222" t="s">
        <v>301</v>
      </c>
      <c r="AF8" s="234">
        <v>44866</v>
      </c>
      <c r="AG8" s="234">
        <v>44896</v>
      </c>
      <c r="AH8" s="234" t="s">
        <v>302</v>
      </c>
      <c r="AI8" s="234" t="s">
        <v>303</v>
      </c>
    </row>
    <row r="9" spans="1:35 16384:16384" ht="12.5" thickBot="1">
      <c r="B9" s="224" t="s">
        <v>304</v>
      </c>
      <c r="M9" s="132">
        <f>+SUM(M4:M8)</f>
        <v>241800</v>
      </c>
      <c r="O9" s="132">
        <f>+SUM(O4:O8)</f>
        <v>241800</v>
      </c>
      <c r="Q9" s="132">
        <f>+SUM(Q4:Q8)</f>
        <v>0</v>
      </c>
      <c r="V9" s="241" t="s">
        <v>205</v>
      </c>
      <c r="W9" s="242">
        <v>2</v>
      </c>
      <c r="X9" s="242" t="s">
        <v>295</v>
      </c>
      <c r="Y9" s="242" t="s">
        <v>297</v>
      </c>
      <c r="Z9" s="242">
        <v>50700</v>
      </c>
      <c r="AA9" s="243">
        <v>44866</v>
      </c>
      <c r="AB9" s="242">
        <f>+W9*Z9</f>
        <v>101400</v>
      </c>
      <c r="AC9" s="244">
        <f>+AB9</f>
        <v>101400</v>
      </c>
      <c r="AD9" s="245">
        <v>0.2</v>
      </c>
      <c r="AE9" s="246">
        <f>+AD9*AC9</f>
        <v>20280</v>
      </c>
      <c r="AF9" s="244">
        <f>+AE9/12</f>
        <v>1690</v>
      </c>
      <c r="AG9" s="244">
        <f>+AF9</f>
        <v>1690</v>
      </c>
      <c r="AH9" s="244">
        <f>+AF9</f>
        <v>1690</v>
      </c>
      <c r="AI9" s="244">
        <f>+AC9-AH9</f>
        <v>99710</v>
      </c>
    </row>
    <row r="10" spans="1:35 16384:16384" ht="12.5" thickTop="1">
      <c r="A10" s="223" t="s">
        <v>306</v>
      </c>
      <c r="V10" s="241" t="s">
        <v>206</v>
      </c>
      <c r="W10" s="242">
        <v>2</v>
      </c>
      <c r="X10" s="242" t="s">
        <v>296</v>
      </c>
      <c r="Y10" s="242" t="s">
        <v>298</v>
      </c>
      <c r="Z10" s="242">
        <v>70200</v>
      </c>
      <c r="AA10" s="243">
        <v>44866</v>
      </c>
      <c r="AB10" s="242">
        <f>+W10*Z10</f>
        <v>140400</v>
      </c>
      <c r="AC10" s="244">
        <f>+AB10</f>
        <v>140400</v>
      </c>
      <c r="AD10" s="245">
        <v>0.2</v>
      </c>
      <c r="AE10" s="246">
        <f>+AD10*AC10</f>
        <v>28080</v>
      </c>
      <c r="AF10" s="244">
        <f>+AE10/12</f>
        <v>2340</v>
      </c>
      <c r="AG10" s="244">
        <f>+AF10</f>
        <v>2340</v>
      </c>
      <c r="AH10" s="244">
        <f>+AF10</f>
        <v>2340</v>
      </c>
      <c r="AI10" s="244">
        <f>+AC10-AH10</f>
        <v>138060</v>
      </c>
    </row>
    <row r="11" spans="1:35 16384:16384" ht="12.5" thickBot="1">
      <c r="D11" s="3" t="s">
        <v>29</v>
      </c>
      <c r="E11" s="3" t="s">
        <v>30</v>
      </c>
      <c r="AF11" s="132">
        <f>+SUM(AF9:AF10)</f>
        <v>4030</v>
      </c>
      <c r="AG11" s="132">
        <f>+SUM(AG9:AG10)</f>
        <v>4030</v>
      </c>
      <c r="AH11" s="132">
        <f t="shared" ref="AH11" si="4">+SUM(AH9:AH10)</f>
        <v>4030</v>
      </c>
      <c r="AI11" s="132">
        <f t="shared" ref="AI11" si="5">+SUM(AI9:AI10)</f>
        <v>237770</v>
      </c>
    </row>
    <row r="12" spans="1:35 16384:16384" ht="12.5" thickTop="1">
      <c r="A12" s="3">
        <v>334</v>
      </c>
      <c r="B12" s="3" t="s">
        <v>305</v>
      </c>
      <c r="D12" s="7">
        <f>+E6</f>
        <v>241800</v>
      </c>
      <c r="L12" s="3" t="s">
        <v>279</v>
      </c>
      <c r="M12" s="225">
        <f>+M4/12</f>
        <v>5037.5</v>
      </c>
      <c r="O12" s="225">
        <f>+O4/12</f>
        <v>4030</v>
      </c>
      <c r="Q12" s="7">
        <f t="shared" ref="Q12:Q23" si="6">+M12-O12</f>
        <v>1007.5</v>
      </c>
    </row>
    <row r="13" spans="1:35 16384:16384">
      <c r="A13" s="3">
        <v>4011</v>
      </c>
      <c r="B13" s="3" t="s">
        <v>27</v>
      </c>
      <c r="D13" s="7">
        <f>+SUM('Op2'!L66:L67)</f>
        <v>43524</v>
      </c>
      <c r="L13" s="3" t="s">
        <v>280</v>
      </c>
      <c r="M13" s="225">
        <f>+M12</f>
        <v>5037.5</v>
      </c>
      <c r="O13" s="7">
        <f>+O12</f>
        <v>4030</v>
      </c>
      <c r="Q13" s="7">
        <f t="shared" si="6"/>
        <v>1007.5</v>
      </c>
      <c r="AF13" s="7">
        <f>+AF4-AF9</f>
        <v>422.5</v>
      </c>
      <c r="AG13" s="7">
        <f>+AG4-AG9</f>
        <v>422.5</v>
      </c>
    </row>
    <row r="14" spans="1:35 16384:16384">
      <c r="A14" s="131">
        <v>4699</v>
      </c>
      <c r="B14" s="131" t="s">
        <v>239</v>
      </c>
      <c r="E14" s="7">
        <f>+SUM(D12:D13)</f>
        <v>285324</v>
      </c>
      <c r="L14" s="3" t="s">
        <v>281</v>
      </c>
      <c r="M14" s="225">
        <f t="shared" ref="M14:M23" si="7">+M13</f>
        <v>5037.5</v>
      </c>
      <c r="O14" s="7">
        <f t="shared" ref="O14:O23" si="8">+O13</f>
        <v>4030</v>
      </c>
      <c r="Q14" s="7">
        <f t="shared" si="6"/>
        <v>1007.5</v>
      </c>
      <c r="AF14" s="7">
        <f>+AF5-AF10</f>
        <v>585</v>
      </c>
      <c r="AG14" s="7">
        <f>+AG5-AG10</f>
        <v>585</v>
      </c>
    </row>
    <row r="15" spans="1:35 16384:16384" ht="12.5" thickBot="1">
      <c r="L15" s="3" t="s">
        <v>282</v>
      </c>
      <c r="M15" s="225">
        <f t="shared" si="7"/>
        <v>5037.5</v>
      </c>
      <c r="O15" s="7">
        <f t="shared" si="8"/>
        <v>4030</v>
      </c>
      <c r="Q15" s="7">
        <f t="shared" si="6"/>
        <v>1007.5</v>
      </c>
      <c r="AF15" s="132">
        <f>+SUM(AF13:AF14)</f>
        <v>1007.5</v>
      </c>
      <c r="AG15" s="132">
        <f>+SUM(AG13:AG14)</f>
        <v>1007.5</v>
      </c>
    </row>
    <row r="16" spans="1:35 16384:16384" ht="12.5" thickTop="1">
      <c r="A16" s="3">
        <v>684</v>
      </c>
      <c r="B16" s="3" t="s">
        <v>307</v>
      </c>
      <c r="D16" s="228">
        <f>+AF6</f>
        <v>5037.5</v>
      </c>
      <c r="E16" s="7"/>
      <c r="L16" s="3" t="s">
        <v>283</v>
      </c>
      <c r="M16" s="225">
        <f t="shared" si="7"/>
        <v>5037.5</v>
      </c>
      <c r="O16" s="7">
        <f t="shared" si="8"/>
        <v>4030</v>
      </c>
      <c r="Q16" s="7">
        <f t="shared" si="6"/>
        <v>1007.5</v>
      </c>
    </row>
    <row r="17" spans="1:17">
      <c r="A17" s="3">
        <v>395</v>
      </c>
      <c r="B17" s="3" t="s">
        <v>308</v>
      </c>
      <c r="D17" s="7"/>
      <c r="E17" s="228">
        <f>+D16</f>
        <v>5037.5</v>
      </c>
      <c r="L17" s="3" t="s">
        <v>284</v>
      </c>
      <c r="M17" s="225">
        <f t="shared" si="7"/>
        <v>5037.5</v>
      </c>
      <c r="O17" s="7">
        <f t="shared" si="8"/>
        <v>4030</v>
      </c>
      <c r="Q17" s="7">
        <f t="shared" si="6"/>
        <v>1007.5</v>
      </c>
    </row>
    <row r="18" spans="1:17">
      <c r="L18" s="3" t="s">
        <v>285</v>
      </c>
      <c r="M18" s="225">
        <f t="shared" si="7"/>
        <v>5037.5</v>
      </c>
      <c r="O18" s="7">
        <f t="shared" si="8"/>
        <v>4030</v>
      </c>
      <c r="Q18" s="7">
        <f t="shared" si="6"/>
        <v>1007.5</v>
      </c>
    </row>
    <row r="19" spans="1:17">
      <c r="A19" s="26">
        <v>93</v>
      </c>
      <c r="B19" s="26" t="s">
        <v>49</v>
      </c>
      <c r="D19" s="7">
        <f>+D16</f>
        <v>5037.5</v>
      </c>
      <c r="L19" s="3" t="s">
        <v>286</v>
      </c>
      <c r="M19" s="225">
        <f t="shared" si="7"/>
        <v>5037.5</v>
      </c>
      <c r="O19" s="7">
        <f t="shared" si="8"/>
        <v>4030</v>
      </c>
      <c r="Q19" s="7">
        <f t="shared" si="6"/>
        <v>1007.5</v>
      </c>
    </row>
    <row r="20" spans="1:17">
      <c r="A20" s="26">
        <v>79</v>
      </c>
      <c r="B20" s="26" t="s">
        <v>229</v>
      </c>
      <c r="E20" s="7">
        <f>+D19</f>
        <v>5037.5</v>
      </c>
      <c r="L20" s="3" t="s">
        <v>287</v>
      </c>
      <c r="M20" s="225">
        <f t="shared" si="7"/>
        <v>5037.5</v>
      </c>
      <c r="O20" s="7">
        <f t="shared" si="8"/>
        <v>4030</v>
      </c>
      <c r="Q20" s="7">
        <f t="shared" si="6"/>
        <v>1007.5</v>
      </c>
    </row>
    <row r="21" spans="1:17">
      <c r="L21" s="3" t="s">
        <v>288</v>
      </c>
      <c r="M21" s="225">
        <f t="shared" si="7"/>
        <v>5037.5</v>
      </c>
      <c r="O21" s="7">
        <f t="shared" si="8"/>
        <v>4030</v>
      </c>
      <c r="Q21" s="7">
        <f t="shared" si="6"/>
        <v>1007.5</v>
      </c>
    </row>
    <row r="22" spans="1:17">
      <c r="L22" s="3" t="s">
        <v>289</v>
      </c>
      <c r="M22" s="225">
        <f t="shared" si="7"/>
        <v>5037.5</v>
      </c>
      <c r="O22" s="7">
        <f t="shared" si="8"/>
        <v>4030</v>
      </c>
      <c r="Q22" s="7">
        <f t="shared" si="6"/>
        <v>1007.5</v>
      </c>
    </row>
    <row r="23" spans="1:17">
      <c r="L23" s="3" t="s">
        <v>290</v>
      </c>
      <c r="M23" s="225">
        <f t="shared" si="7"/>
        <v>5037.5</v>
      </c>
      <c r="O23" s="7">
        <f t="shared" si="8"/>
        <v>4030</v>
      </c>
      <c r="Q23" s="7">
        <f t="shared" si="6"/>
        <v>1007.5</v>
      </c>
    </row>
    <row r="24" spans="1:17">
      <c r="L24" s="102" t="s">
        <v>279</v>
      </c>
      <c r="M24" s="227">
        <f>+M23</f>
        <v>5037.5</v>
      </c>
      <c r="N24" s="102"/>
      <c r="O24" s="227">
        <f>+O23</f>
        <v>4030</v>
      </c>
      <c r="P24" s="102"/>
      <c r="Q24" s="228">
        <f t="shared" ref="Q24:Q35" si="9">+M24-O24</f>
        <v>1007.5</v>
      </c>
    </row>
    <row r="25" spans="1:17">
      <c r="L25" s="102" t="s">
        <v>280</v>
      </c>
      <c r="M25" s="227">
        <f>+M24</f>
        <v>5037.5</v>
      </c>
      <c r="N25" s="102"/>
      <c r="O25" s="228">
        <f>+O24</f>
        <v>4030</v>
      </c>
      <c r="P25" s="102"/>
      <c r="Q25" s="228">
        <f t="shared" si="9"/>
        <v>1007.5</v>
      </c>
    </row>
    <row r="26" spans="1:17">
      <c r="L26" s="102" t="s">
        <v>281</v>
      </c>
      <c r="M26" s="227">
        <f t="shared" ref="M26:M35" si="10">+M25</f>
        <v>5037.5</v>
      </c>
      <c r="N26" s="102"/>
      <c r="O26" s="228">
        <f t="shared" ref="O26:O35" si="11">+O25</f>
        <v>4030</v>
      </c>
      <c r="P26" s="102"/>
      <c r="Q26" s="228">
        <f t="shared" si="9"/>
        <v>1007.5</v>
      </c>
    </row>
    <row r="27" spans="1:17">
      <c r="L27" s="102" t="s">
        <v>282</v>
      </c>
      <c r="M27" s="227">
        <f t="shared" si="10"/>
        <v>5037.5</v>
      </c>
      <c r="N27" s="102"/>
      <c r="O27" s="228">
        <f t="shared" si="11"/>
        <v>4030</v>
      </c>
      <c r="P27" s="102"/>
      <c r="Q27" s="228">
        <f t="shared" si="9"/>
        <v>1007.5</v>
      </c>
    </row>
    <row r="28" spans="1:17">
      <c r="L28" s="102" t="s">
        <v>283</v>
      </c>
      <c r="M28" s="227">
        <f t="shared" si="10"/>
        <v>5037.5</v>
      </c>
      <c r="N28" s="102"/>
      <c r="O28" s="228">
        <f t="shared" si="11"/>
        <v>4030</v>
      </c>
      <c r="P28" s="102"/>
      <c r="Q28" s="228">
        <f t="shared" si="9"/>
        <v>1007.5</v>
      </c>
    </row>
    <row r="29" spans="1:17">
      <c r="L29" s="102" t="s">
        <v>284</v>
      </c>
      <c r="M29" s="227">
        <f t="shared" si="10"/>
        <v>5037.5</v>
      </c>
      <c r="N29" s="102"/>
      <c r="O29" s="228">
        <f t="shared" si="11"/>
        <v>4030</v>
      </c>
      <c r="P29" s="102"/>
      <c r="Q29" s="228">
        <f t="shared" si="9"/>
        <v>1007.5</v>
      </c>
    </row>
    <row r="30" spans="1:17">
      <c r="L30" s="102" t="s">
        <v>285</v>
      </c>
      <c r="M30" s="227">
        <f t="shared" si="10"/>
        <v>5037.5</v>
      </c>
      <c r="N30" s="102"/>
      <c r="O30" s="228">
        <f t="shared" si="11"/>
        <v>4030</v>
      </c>
      <c r="P30" s="102"/>
      <c r="Q30" s="228">
        <f t="shared" si="9"/>
        <v>1007.5</v>
      </c>
    </row>
    <row r="31" spans="1:17">
      <c r="L31" s="102" t="s">
        <v>286</v>
      </c>
      <c r="M31" s="227">
        <f t="shared" si="10"/>
        <v>5037.5</v>
      </c>
      <c r="N31" s="102"/>
      <c r="O31" s="228">
        <f t="shared" si="11"/>
        <v>4030</v>
      </c>
      <c r="P31" s="102"/>
      <c r="Q31" s="228">
        <f t="shared" si="9"/>
        <v>1007.5</v>
      </c>
    </row>
    <row r="32" spans="1:17">
      <c r="L32" s="102" t="s">
        <v>287</v>
      </c>
      <c r="M32" s="227">
        <f t="shared" si="10"/>
        <v>5037.5</v>
      </c>
      <c r="N32" s="102"/>
      <c r="O32" s="228">
        <f t="shared" si="11"/>
        <v>4030</v>
      </c>
      <c r="P32" s="102"/>
      <c r="Q32" s="228">
        <f t="shared" si="9"/>
        <v>1007.5</v>
      </c>
    </row>
    <row r="33" spans="12:17">
      <c r="L33" s="102" t="s">
        <v>288</v>
      </c>
      <c r="M33" s="227">
        <f t="shared" si="10"/>
        <v>5037.5</v>
      </c>
      <c r="N33" s="102"/>
      <c r="O33" s="228">
        <f t="shared" si="11"/>
        <v>4030</v>
      </c>
      <c r="P33" s="102"/>
      <c r="Q33" s="228">
        <f t="shared" si="9"/>
        <v>1007.5</v>
      </c>
    </row>
    <row r="34" spans="12:17">
      <c r="L34" s="102" t="s">
        <v>289</v>
      </c>
      <c r="M34" s="227">
        <f t="shared" si="10"/>
        <v>5037.5</v>
      </c>
      <c r="N34" s="102"/>
      <c r="O34" s="228">
        <f t="shared" si="11"/>
        <v>4030</v>
      </c>
      <c r="P34" s="102"/>
      <c r="Q34" s="228">
        <f t="shared" si="9"/>
        <v>1007.5</v>
      </c>
    </row>
    <row r="35" spans="12:17">
      <c r="L35" s="102" t="s">
        <v>290</v>
      </c>
      <c r="M35" s="227">
        <f t="shared" si="10"/>
        <v>5037.5</v>
      </c>
      <c r="N35" s="102"/>
      <c r="O35" s="228">
        <f t="shared" si="11"/>
        <v>4030</v>
      </c>
      <c r="P35" s="102"/>
      <c r="Q35" s="228">
        <f t="shared" si="9"/>
        <v>1007.5</v>
      </c>
    </row>
    <row r="36" spans="12:17">
      <c r="L36" s="139" t="s">
        <v>279</v>
      </c>
      <c r="M36" s="229">
        <f>+M35</f>
        <v>5037.5</v>
      </c>
      <c r="N36" s="139"/>
      <c r="O36" s="229">
        <f>+O35</f>
        <v>4030</v>
      </c>
      <c r="P36" s="139"/>
      <c r="Q36" s="219">
        <f t="shared" ref="Q36:Q47" si="12">+M36-O36</f>
        <v>1007.5</v>
      </c>
    </row>
    <row r="37" spans="12:17">
      <c r="L37" s="139" t="s">
        <v>280</v>
      </c>
      <c r="M37" s="229">
        <f>+M36</f>
        <v>5037.5</v>
      </c>
      <c r="N37" s="139"/>
      <c r="O37" s="219">
        <f>+O36</f>
        <v>4030</v>
      </c>
      <c r="P37" s="139"/>
      <c r="Q37" s="219">
        <f t="shared" si="12"/>
        <v>1007.5</v>
      </c>
    </row>
    <row r="38" spans="12:17">
      <c r="L38" s="139" t="s">
        <v>281</v>
      </c>
      <c r="M38" s="229">
        <f t="shared" ref="M38:M47" si="13">+M37</f>
        <v>5037.5</v>
      </c>
      <c r="N38" s="139"/>
      <c r="O38" s="219">
        <f t="shared" ref="O38:O47" si="14">+O37</f>
        <v>4030</v>
      </c>
      <c r="P38" s="139"/>
      <c r="Q38" s="219">
        <f t="shared" si="12"/>
        <v>1007.5</v>
      </c>
    </row>
    <row r="39" spans="12:17">
      <c r="L39" s="139" t="s">
        <v>282</v>
      </c>
      <c r="M39" s="229">
        <f t="shared" si="13"/>
        <v>5037.5</v>
      </c>
      <c r="N39" s="139"/>
      <c r="O39" s="219">
        <f t="shared" si="14"/>
        <v>4030</v>
      </c>
      <c r="P39" s="139"/>
      <c r="Q39" s="219">
        <f t="shared" si="12"/>
        <v>1007.5</v>
      </c>
    </row>
    <row r="40" spans="12:17">
      <c r="L40" s="139" t="s">
        <v>283</v>
      </c>
      <c r="M40" s="229">
        <f t="shared" si="13"/>
        <v>5037.5</v>
      </c>
      <c r="N40" s="139"/>
      <c r="O40" s="219">
        <f t="shared" si="14"/>
        <v>4030</v>
      </c>
      <c r="P40" s="139"/>
      <c r="Q40" s="219">
        <f t="shared" si="12"/>
        <v>1007.5</v>
      </c>
    </row>
    <row r="41" spans="12:17">
      <c r="L41" s="139" t="s">
        <v>284</v>
      </c>
      <c r="M41" s="229">
        <f t="shared" si="13"/>
        <v>5037.5</v>
      </c>
      <c r="N41" s="139"/>
      <c r="O41" s="219">
        <f t="shared" si="14"/>
        <v>4030</v>
      </c>
      <c r="P41" s="139"/>
      <c r="Q41" s="219">
        <f t="shared" si="12"/>
        <v>1007.5</v>
      </c>
    </row>
    <row r="42" spans="12:17">
      <c r="L42" s="139" t="s">
        <v>285</v>
      </c>
      <c r="M42" s="229">
        <f t="shared" si="13"/>
        <v>5037.5</v>
      </c>
      <c r="N42" s="139"/>
      <c r="O42" s="219">
        <f t="shared" si="14"/>
        <v>4030</v>
      </c>
      <c r="P42" s="139"/>
      <c r="Q42" s="219">
        <f t="shared" si="12"/>
        <v>1007.5</v>
      </c>
    </row>
    <row r="43" spans="12:17">
      <c r="L43" s="139" t="s">
        <v>286</v>
      </c>
      <c r="M43" s="229">
        <f t="shared" si="13"/>
        <v>5037.5</v>
      </c>
      <c r="N43" s="139"/>
      <c r="O43" s="219">
        <f t="shared" si="14"/>
        <v>4030</v>
      </c>
      <c r="P43" s="139"/>
      <c r="Q43" s="219">
        <f t="shared" si="12"/>
        <v>1007.5</v>
      </c>
    </row>
    <row r="44" spans="12:17">
      <c r="L44" s="139" t="s">
        <v>287</v>
      </c>
      <c r="M44" s="229">
        <f t="shared" si="13"/>
        <v>5037.5</v>
      </c>
      <c r="N44" s="139"/>
      <c r="O44" s="219">
        <f t="shared" si="14"/>
        <v>4030</v>
      </c>
      <c r="P44" s="139"/>
      <c r="Q44" s="219">
        <f t="shared" si="12"/>
        <v>1007.5</v>
      </c>
    </row>
    <row r="45" spans="12:17">
      <c r="L45" s="139" t="s">
        <v>288</v>
      </c>
      <c r="M45" s="229">
        <f t="shared" si="13"/>
        <v>5037.5</v>
      </c>
      <c r="N45" s="139"/>
      <c r="O45" s="219">
        <f t="shared" si="14"/>
        <v>4030</v>
      </c>
      <c r="P45" s="139"/>
      <c r="Q45" s="219">
        <f t="shared" si="12"/>
        <v>1007.5</v>
      </c>
    </row>
    <row r="46" spans="12:17">
      <c r="L46" s="139" t="s">
        <v>289</v>
      </c>
      <c r="M46" s="229">
        <f t="shared" si="13"/>
        <v>5037.5</v>
      </c>
      <c r="N46" s="139"/>
      <c r="O46" s="219">
        <f t="shared" si="14"/>
        <v>4030</v>
      </c>
      <c r="P46" s="139"/>
      <c r="Q46" s="219">
        <f t="shared" si="12"/>
        <v>1007.5</v>
      </c>
    </row>
    <row r="47" spans="12:17">
      <c r="L47" s="139" t="s">
        <v>290</v>
      </c>
      <c r="M47" s="229">
        <f t="shared" si="13"/>
        <v>5037.5</v>
      </c>
      <c r="N47" s="139"/>
      <c r="O47" s="219">
        <f t="shared" si="14"/>
        <v>4030</v>
      </c>
      <c r="P47" s="139"/>
      <c r="Q47" s="219">
        <f t="shared" si="12"/>
        <v>1007.5</v>
      </c>
    </row>
    <row r="48" spans="12:17">
      <c r="L48" s="230" t="s">
        <v>279</v>
      </c>
      <c r="M48" s="231">
        <f>+M47</f>
        <v>5037.5</v>
      </c>
      <c r="N48" s="230"/>
      <c r="O48" s="231">
        <f>+O47</f>
        <v>4030</v>
      </c>
      <c r="P48" s="230"/>
      <c r="Q48" s="232">
        <f t="shared" ref="Q48:Q59" si="15">+M48-O48</f>
        <v>1007.5</v>
      </c>
    </row>
    <row r="49" spans="12:17">
      <c r="L49" s="230" t="s">
        <v>280</v>
      </c>
      <c r="M49" s="231">
        <f>+M48</f>
        <v>5037.5</v>
      </c>
      <c r="N49" s="230"/>
      <c r="O49" s="232">
        <f>+O48</f>
        <v>4030</v>
      </c>
      <c r="P49" s="230"/>
      <c r="Q49" s="232">
        <f t="shared" si="15"/>
        <v>1007.5</v>
      </c>
    </row>
    <row r="50" spans="12:17">
      <c r="L50" s="230" t="s">
        <v>281</v>
      </c>
      <c r="M50" s="231">
        <f t="shared" ref="M50:M59" si="16">+M49</f>
        <v>5037.5</v>
      </c>
      <c r="N50" s="230"/>
      <c r="O50" s="232">
        <f t="shared" ref="O50:O59" si="17">+O49</f>
        <v>4030</v>
      </c>
      <c r="P50" s="230"/>
      <c r="Q50" s="232">
        <f t="shared" si="15"/>
        <v>1007.5</v>
      </c>
    </row>
    <row r="51" spans="12:17">
      <c r="L51" s="230" t="s">
        <v>282</v>
      </c>
      <c r="M51" s="231">
        <f t="shared" si="16"/>
        <v>5037.5</v>
      </c>
      <c r="N51" s="230"/>
      <c r="O51" s="232">
        <f t="shared" si="17"/>
        <v>4030</v>
      </c>
      <c r="P51" s="230"/>
      <c r="Q51" s="232">
        <f t="shared" si="15"/>
        <v>1007.5</v>
      </c>
    </row>
    <row r="52" spans="12:17">
      <c r="L52" s="230" t="s">
        <v>283</v>
      </c>
      <c r="M52" s="231">
        <f t="shared" si="16"/>
        <v>5037.5</v>
      </c>
      <c r="N52" s="230"/>
      <c r="O52" s="232">
        <f t="shared" si="17"/>
        <v>4030</v>
      </c>
      <c r="P52" s="230"/>
      <c r="Q52" s="232">
        <f t="shared" si="15"/>
        <v>1007.5</v>
      </c>
    </row>
    <row r="53" spans="12:17">
      <c r="L53" s="230" t="s">
        <v>284</v>
      </c>
      <c r="M53" s="231">
        <f t="shared" si="16"/>
        <v>5037.5</v>
      </c>
      <c r="N53" s="230"/>
      <c r="O53" s="232">
        <f t="shared" si="17"/>
        <v>4030</v>
      </c>
      <c r="P53" s="230"/>
      <c r="Q53" s="232">
        <f t="shared" si="15"/>
        <v>1007.5</v>
      </c>
    </row>
    <row r="54" spans="12:17">
      <c r="L54" s="230" t="s">
        <v>285</v>
      </c>
      <c r="M54" s="231">
        <f t="shared" si="16"/>
        <v>5037.5</v>
      </c>
      <c r="N54" s="230"/>
      <c r="O54" s="232">
        <f t="shared" si="17"/>
        <v>4030</v>
      </c>
      <c r="P54" s="230"/>
      <c r="Q54" s="232">
        <f t="shared" si="15"/>
        <v>1007.5</v>
      </c>
    </row>
    <row r="55" spans="12:17">
      <c r="L55" s="230" t="s">
        <v>286</v>
      </c>
      <c r="M55" s="231">
        <f t="shared" si="16"/>
        <v>5037.5</v>
      </c>
      <c r="N55" s="230"/>
      <c r="O55" s="232">
        <f t="shared" si="17"/>
        <v>4030</v>
      </c>
      <c r="P55" s="230"/>
      <c r="Q55" s="232">
        <f t="shared" si="15"/>
        <v>1007.5</v>
      </c>
    </row>
    <row r="56" spans="12:17">
      <c r="L56" s="230" t="s">
        <v>287</v>
      </c>
      <c r="M56" s="231">
        <f t="shared" si="16"/>
        <v>5037.5</v>
      </c>
      <c r="N56" s="230"/>
      <c r="O56" s="232">
        <f t="shared" si="17"/>
        <v>4030</v>
      </c>
      <c r="P56" s="230"/>
      <c r="Q56" s="232">
        <f t="shared" si="15"/>
        <v>1007.5</v>
      </c>
    </row>
    <row r="57" spans="12:17">
      <c r="L57" s="230" t="s">
        <v>288</v>
      </c>
      <c r="M57" s="231">
        <f t="shared" si="16"/>
        <v>5037.5</v>
      </c>
      <c r="N57" s="230"/>
      <c r="O57" s="232">
        <f t="shared" si="17"/>
        <v>4030</v>
      </c>
      <c r="P57" s="230"/>
      <c r="Q57" s="232">
        <f t="shared" si="15"/>
        <v>1007.5</v>
      </c>
    </row>
    <row r="58" spans="12:17">
      <c r="L58" s="230" t="s">
        <v>289</v>
      </c>
      <c r="M58" s="231">
        <f t="shared" si="16"/>
        <v>5037.5</v>
      </c>
      <c r="N58" s="230"/>
      <c r="O58" s="232">
        <f t="shared" si="17"/>
        <v>4030</v>
      </c>
      <c r="P58" s="230"/>
      <c r="Q58" s="232">
        <f t="shared" si="15"/>
        <v>1007.5</v>
      </c>
    </row>
    <row r="59" spans="12:17">
      <c r="L59" s="230" t="s">
        <v>290</v>
      </c>
      <c r="M59" s="231">
        <f t="shared" si="16"/>
        <v>5037.5</v>
      </c>
      <c r="N59" s="230"/>
      <c r="O59" s="232">
        <f t="shared" si="17"/>
        <v>4030</v>
      </c>
      <c r="P59" s="230"/>
      <c r="Q59" s="232">
        <f t="shared" si="15"/>
        <v>1007.5</v>
      </c>
    </row>
    <row r="60" spans="12:17">
      <c r="L60" s="230" t="s">
        <v>279</v>
      </c>
      <c r="M60" s="231">
        <v>0</v>
      </c>
      <c r="N60" s="230"/>
      <c r="O60" s="231">
        <f>+O59</f>
        <v>4030</v>
      </c>
      <c r="P60" s="230"/>
      <c r="Q60" s="232">
        <f t="shared" ref="Q60:Q71" si="18">+M60-O60</f>
        <v>-4030</v>
      </c>
    </row>
    <row r="61" spans="12:17">
      <c r="L61" s="230" t="s">
        <v>280</v>
      </c>
      <c r="M61" s="231">
        <f>+M60</f>
        <v>0</v>
      </c>
      <c r="N61" s="230"/>
      <c r="O61" s="232">
        <f>+O60</f>
        <v>4030</v>
      </c>
      <c r="P61" s="230"/>
      <c r="Q61" s="232">
        <f t="shared" si="18"/>
        <v>-4030</v>
      </c>
    </row>
    <row r="62" spans="12:17">
      <c r="L62" s="230" t="s">
        <v>281</v>
      </c>
      <c r="M62" s="231">
        <f t="shared" ref="M62:M71" si="19">+M61</f>
        <v>0</v>
      </c>
      <c r="N62" s="230"/>
      <c r="O62" s="232">
        <f t="shared" ref="O62:O71" si="20">+O61</f>
        <v>4030</v>
      </c>
      <c r="P62" s="230"/>
      <c r="Q62" s="232">
        <f t="shared" si="18"/>
        <v>-4030</v>
      </c>
    </row>
    <row r="63" spans="12:17">
      <c r="L63" s="230" t="s">
        <v>282</v>
      </c>
      <c r="M63" s="231">
        <f t="shared" si="19"/>
        <v>0</v>
      </c>
      <c r="N63" s="230"/>
      <c r="O63" s="232">
        <f t="shared" si="20"/>
        <v>4030</v>
      </c>
      <c r="P63" s="230"/>
      <c r="Q63" s="232">
        <f t="shared" si="18"/>
        <v>-4030</v>
      </c>
    </row>
    <row r="64" spans="12:17">
      <c r="L64" s="230" t="s">
        <v>283</v>
      </c>
      <c r="M64" s="231">
        <f t="shared" si="19"/>
        <v>0</v>
      </c>
      <c r="N64" s="230"/>
      <c r="O64" s="232">
        <f t="shared" si="20"/>
        <v>4030</v>
      </c>
      <c r="P64" s="230"/>
      <c r="Q64" s="232">
        <f t="shared" si="18"/>
        <v>-4030</v>
      </c>
    </row>
    <row r="65" spans="12:17">
      <c r="L65" s="230" t="s">
        <v>284</v>
      </c>
      <c r="M65" s="231">
        <f t="shared" si="19"/>
        <v>0</v>
      </c>
      <c r="N65" s="230"/>
      <c r="O65" s="232">
        <f t="shared" si="20"/>
        <v>4030</v>
      </c>
      <c r="P65" s="230"/>
      <c r="Q65" s="232">
        <f t="shared" si="18"/>
        <v>-4030</v>
      </c>
    </row>
    <row r="66" spans="12:17">
      <c r="L66" s="230" t="s">
        <v>285</v>
      </c>
      <c r="M66" s="231">
        <f t="shared" si="19"/>
        <v>0</v>
      </c>
      <c r="N66" s="230"/>
      <c r="O66" s="232">
        <f t="shared" si="20"/>
        <v>4030</v>
      </c>
      <c r="P66" s="230"/>
      <c r="Q66" s="232">
        <f t="shared" si="18"/>
        <v>-4030</v>
      </c>
    </row>
    <row r="67" spans="12:17">
      <c r="L67" s="230" t="s">
        <v>286</v>
      </c>
      <c r="M67" s="231">
        <f t="shared" si="19"/>
        <v>0</v>
      </c>
      <c r="N67" s="230"/>
      <c r="O67" s="232">
        <f t="shared" si="20"/>
        <v>4030</v>
      </c>
      <c r="P67" s="230"/>
      <c r="Q67" s="232">
        <f t="shared" si="18"/>
        <v>-4030</v>
      </c>
    </row>
    <row r="68" spans="12:17">
      <c r="L68" s="230" t="s">
        <v>287</v>
      </c>
      <c r="M68" s="231">
        <f t="shared" si="19"/>
        <v>0</v>
      </c>
      <c r="N68" s="230"/>
      <c r="O68" s="232">
        <f t="shared" si="20"/>
        <v>4030</v>
      </c>
      <c r="P68" s="230"/>
      <c r="Q68" s="232">
        <f t="shared" si="18"/>
        <v>-4030</v>
      </c>
    </row>
    <row r="69" spans="12:17">
      <c r="L69" s="230" t="s">
        <v>288</v>
      </c>
      <c r="M69" s="231">
        <f t="shared" si="19"/>
        <v>0</v>
      </c>
      <c r="N69" s="230"/>
      <c r="O69" s="232">
        <f t="shared" si="20"/>
        <v>4030</v>
      </c>
      <c r="P69" s="230"/>
      <c r="Q69" s="232">
        <f t="shared" si="18"/>
        <v>-4030</v>
      </c>
    </row>
    <row r="70" spans="12:17">
      <c r="L70" s="230" t="s">
        <v>289</v>
      </c>
      <c r="M70" s="231">
        <f t="shared" si="19"/>
        <v>0</v>
      </c>
      <c r="N70" s="230"/>
      <c r="O70" s="232">
        <f t="shared" si="20"/>
        <v>4030</v>
      </c>
      <c r="P70" s="230"/>
      <c r="Q70" s="232">
        <f t="shared" si="18"/>
        <v>-4030</v>
      </c>
    </row>
    <row r="71" spans="12:17">
      <c r="L71" s="230" t="s">
        <v>290</v>
      </c>
      <c r="M71" s="231">
        <f t="shared" si="19"/>
        <v>0</v>
      </c>
      <c r="N71" s="230"/>
      <c r="O71" s="232">
        <f t="shared" si="20"/>
        <v>4030</v>
      </c>
      <c r="P71" s="230"/>
      <c r="Q71" s="232">
        <f t="shared" si="18"/>
        <v>-4030</v>
      </c>
    </row>
    <row r="72" spans="12:17" ht="12.5" thickBot="1">
      <c r="M72" s="101">
        <f>+SUM(M12:M71)</f>
        <v>241800</v>
      </c>
      <c r="N72" s="101"/>
      <c r="O72" s="101">
        <f t="shared" ref="O72:Q72" si="21">+SUM(O12:O71)</f>
        <v>241800</v>
      </c>
      <c r="P72" s="101"/>
      <c r="Q72" s="101">
        <f t="shared" si="21"/>
        <v>0</v>
      </c>
    </row>
    <row r="73" spans="12:17" ht="12.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22</vt:i4>
      </vt:variant>
    </vt:vector>
  </HeadingPairs>
  <TitlesOfParts>
    <vt:vector size="22" baseType="lpstr">
      <vt:lpstr>Proceso de monografía</vt:lpstr>
      <vt:lpstr>Impactos en DJAnual</vt:lpstr>
      <vt:lpstr>Caso Práctico</vt:lpstr>
      <vt:lpstr>Op1</vt:lpstr>
      <vt:lpstr>Op2</vt:lpstr>
      <vt:lpstr>Op3</vt:lpstr>
      <vt:lpstr>kardex</vt:lpstr>
      <vt:lpstr>Op4</vt:lpstr>
      <vt:lpstr>Op5</vt:lpstr>
      <vt:lpstr>L.diario</vt:lpstr>
      <vt:lpstr>L.Mayor</vt:lpstr>
      <vt:lpstr>BC-11.22</vt:lpstr>
      <vt:lpstr>ESF</vt:lpstr>
      <vt:lpstr>Cta12</vt:lpstr>
      <vt:lpstr>Cta20</vt:lpstr>
      <vt:lpstr>Cta16</vt:lpstr>
      <vt:lpstr>ERI</vt:lpstr>
      <vt:lpstr>Hoja2</vt:lpstr>
      <vt:lpstr>BC-2021</vt:lpstr>
      <vt:lpstr>Reg. Compras</vt:lpstr>
      <vt:lpstr>Reg. Vtas</vt:lpstr>
      <vt:lpstr>B.C.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 Quispe</dc:creator>
  <cp:lastModifiedBy>GRIS QUISPE</cp:lastModifiedBy>
  <cp:lastPrinted>2017-07-20T23:17:31Z</cp:lastPrinted>
  <dcterms:created xsi:type="dcterms:W3CDTF">2017-04-22T20:17:00Z</dcterms:created>
  <dcterms:modified xsi:type="dcterms:W3CDTF">2022-12-01T03:47:09Z</dcterms:modified>
</cp:coreProperties>
</file>